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FISCAL\WORKSHARE\WORKGRP\CRU\CRStaff\CR1718\Website\DMC\DMC Cost Report References\"/>
    </mc:Choice>
  </mc:AlternateContent>
  <xr:revisionPtr revIDLastSave="0" documentId="8_{BD570C3B-5FEC-424E-8FE0-7EF4180A1ABC}" xr6:coauthVersionLast="36" xr6:coauthVersionMax="36" xr10:uidLastSave="{00000000-0000-0000-0000-000000000000}"/>
  <bookViews>
    <workbookView xWindow="0" yWindow="0" windowWidth="15360" windowHeight="7860" xr2:uid="{00000000-000D-0000-FFFF-FFFF00000000}"/>
  </bookViews>
  <sheets>
    <sheet name="Monthly activity" sheetId="17" r:id="rId1"/>
  </sheet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f" localSheetId="0">#REF!</definedName>
    <definedName name="\f">#REF!</definedName>
    <definedName name="\l" localSheetId="0">#REF!</definedName>
    <definedName name="\l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x" localSheetId="0">#REF!</definedName>
    <definedName name="\x">#REF!</definedName>
    <definedName name="\z" localSheetId="0">#REF!</definedName>
    <definedName name="\z">#REF!</definedName>
    <definedName name="AMOUNTPAID" localSheetId="0">#REF!</definedName>
    <definedName name="AMOUNTPAID">#REF!</definedName>
    <definedName name="APRBILL" localSheetId="0">#REF!</definedName>
    <definedName name="APRBILL">#REF!</definedName>
    <definedName name="APRPAID" localSheetId="0">#REF!</definedName>
    <definedName name="APRPAID">#REF!</definedName>
    <definedName name="AUGBILL" localSheetId="0">#REF!</definedName>
    <definedName name="AUGBILL">#REF!</definedName>
    <definedName name="AUGPAID" localSheetId="0">#REF!</definedName>
    <definedName name="AUGPAID">#REF!</definedName>
    <definedName name="CA" localSheetId="0">#REF!</definedName>
    <definedName name="CA">#REF!</definedName>
    <definedName name="CN" localSheetId="0">#REF!</definedName>
    <definedName name="CN">#REF!</definedName>
    <definedName name="DECBILL" localSheetId="0">#REF!</definedName>
    <definedName name="DECBILL">#REF!</definedName>
    <definedName name="DECPAID" localSheetId="0">#REF!</definedName>
    <definedName name="DECPAID">#REF!</definedName>
    <definedName name="EN" localSheetId="0">#REF!</definedName>
    <definedName name="EN">#REF!</definedName>
    <definedName name="FEBBILL" localSheetId="0">#REF!</definedName>
    <definedName name="FEBBILL">#REF!</definedName>
    <definedName name="FEBPAID" localSheetId="0">#REF!</definedName>
    <definedName name="FEBPAID">#REF!</definedName>
    <definedName name="GROSSCLAIMED" localSheetId="0">#REF!</definedName>
    <definedName name="GROSSCLAIMED">#REF!</definedName>
    <definedName name="HEADING" localSheetId="0">#REF!</definedName>
    <definedName name="HEADING">#REF!</definedName>
    <definedName name="JANBILL" localSheetId="0">#REF!</definedName>
    <definedName name="JANBILL">#REF!</definedName>
    <definedName name="JANPAID" localSheetId="0">#REF!</definedName>
    <definedName name="JANPAID">#REF!</definedName>
    <definedName name="JULBILL" localSheetId="0">#REF!</definedName>
    <definedName name="JULBILL">#REF!</definedName>
    <definedName name="JULPAID" localSheetId="0">#REF!</definedName>
    <definedName name="JULPAID">#REF!</definedName>
    <definedName name="JUNBILL" localSheetId="0">#REF!</definedName>
    <definedName name="JUNBILL">#REF!</definedName>
    <definedName name="JUNPAID" localSheetId="0">#REF!</definedName>
    <definedName name="JUNPAID">#REF!</definedName>
    <definedName name="MACROS" localSheetId="0">#REF!</definedName>
    <definedName name="MACROS">#REF!</definedName>
    <definedName name="MARBILL" localSheetId="0">#REF!</definedName>
    <definedName name="MARBILL">#REF!</definedName>
    <definedName name="MARPAID" localSheetId="0">#REF!</definedName>
    <definedName name="MARPAID">#REF!</definedName>
    <definedName name="MAYBILL" localSheetId="0">#REF!</definedName>
    <definedName name="MAYBILL">#REF!</definedName>
    <definedName name="MAYPAID" localSheetId="0">#REF!</definedName>
    <definedName name="MAYPAID">#REF!</definedName>
    <definedName name="MONTHSBILLED" localSheetId="0">#REF!</definedName>
    <definedName name="MONTHSBILLED">#REF!</definedName>
    <definedName name="MOS" localSheetId="0">#REF!</definedName>
    <definedName name="MOS">#REF!</definedName>
    <definedName name="NOVBILL" localSheetId="0">#REF!</definedName>
    <definedName name="NOVBILL">#REF!</definedName>
    <definedName name="NOVPAID" localSheetId="0">#REF!</definedName>
    <definedName name="NOVPAID">#REF!</definedName>
    <definedName name="OCTBILL" localSheetId="0">#REF!</definedName>
    <definedName name="OCTBILL">#REF!</definedName>
    <definedName name="OCTPAID" localSheetId="0">#REF!</definedName>
    <definedName name="OCTPAID">#REF!</definedName>
    <definedName name="PN" localSheetId="0">#REF!</definedName>
    <definedName name="PN">#REF!</definedName>
    <definedName name="_xlnm.Print_Area" localSheetId="0">'Monthly activity'!$A$1:$R$55</definedName>
    <definedName name="_xlnm.Print_Titles" localSheetId="0">'Monthly activity'!$15:$15</definedName>
    <definedName name="REMARKS" localSheetId="0">#REF!</definedName>
    <definedName name="REMARKS">#REF!</definedName>
    <definedName name="SEPBILL" localSheetId="0">#REF!</definedName>
    <definedName name="SEPBILL">#REF!</definedName>
    <definedName name="SEPPAID" localSheetId="0">#REF!</definedName>
    <definedName name="SEPPAID">#REF!</definedName>
    <definedName name="UNIT" localSheetId="0">#REF!</definedName>
    <definedName name="UNIT">#REF!</definedName>
    <definedName name="UNITS" localSheetId="0">#REF!</definedName>
    <definedName name="UNITS">#REF!</definedName>
    <definedName name="UNITSREPORTED" localSheetId="0">#REF!</definedName>
    <definedName name="UNITSREPORTED">#REF!</definedName>
    <definedName name="YTDGROSSCLAIMED" localSheetId="0">#REF!</definedName>
    <definedName name="YTDGROSSCLAIMED">#REF!</definedName>
    <definedName name="YTDNETCLAIMED" localSheetId="0">#REF!</definedName>
    <definedName name="YTDNETCLAIMED">#REF!</definedName>
    <definedName name="YTDPAID" localSheetId="0">#REF!</definedName>
    <definedName name="YTDPAID">#REF!</definedName>
    <definedName name="YTDREVENUE" localSheetId="0">#REF!</definedName>
    <definedName name="YTDREVEN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51" i="17" l="1"/>
  <c r="N51" i="17"/>
  <c r="M51" i="17"/>
  <c r="H51" i="17"/>
  <c r="G51" i="17"/>
  <c r="G52" i="17" s="1"/>
  <c r="E51" i="17"/>
  <c r="L50" i="17"/>
  <c r="O50" i="17" s="1"/>
  <c r="O51" i="17" s="1"/>
  <c r="L51" i="17" l="1"/>
  <c r="M52" i="17"/>
  <c r="E52" i="17"/>
  <c r="P49" i="17"/>
  <c r="N49" i="17"/>
  <c r="M49" i="17"/>
  <c r="H49" i="17"/>
  <c r="G49" i="17"/>
  <c r="E49" i="17"/>
  <c r="L48" i="17"/>
  <c r="O48" i="17" s="1"/>
  <c r="O49" i="17" s="1"/>
  <c r="L49" i="17" l="1"/>
  <c r="P43" i="17"/>
  <c r="N43" i="17"/>
  <c r="M43" i="17"/>
  <c r="H43" i="17"/>
  <c r="G43" i="17"/>
  <c r="E43" i="17"/>
  <c r="L42" i="17"/>
  <c r="O42" i="17" s="1"/>
  <c r="O43" i="17" s="1"/>
  <c r="L43" i="17" l="1"/>
  <c r="P37" i="17"/>
  <c r="N37" i="17"/>
  <c r="M37" i="17"/>
  <c r="H37" i="17"/>
  <c r="G37" i="17"/>
  <c r="E37" i="17"/>
  <c r="L36" i="17"/>
  <c r="L37" i="17" s="1"/>
  <c r="O36" i="17" l="1"/>
  <c r="O37" i="17" s="1"/>
  <c r="P35" i="17"/>
  <c r="N35" i="17"/>
  <c r="M35" i="17"/>
  <c r="H35" i="17"/>
  <c r="G35" i="17"/>
  <c r="E35" i="17"/>
  <c r="L34" i="17"/>
  <c r="L35" i="17" s="1"/>
  <c r="O34" i="17" l="1"/>
  <c r="O35" i="17" s="1"/>
  <c r="P29" i="17" l="1"/>
  <c r="N29" i="17"/>
  <c r="M29" i="17"/>
  <c r="H29" i="17"/>
  <c r="G29" i="17"/>
  <c r="E29" i="17"/>
  <c r="L28" i="17"/>
  <c r="L29" i="17" l="1"/>
  <c r="O28" i="17"/>
  <c r="O29" i="17" s="1"/>
  <c r="L46" i="17"/>
  <c r="O46" i="17" s="1"/>
  <c r="L44" i="17"/>
  <c r="L40" i="17"/>
  <c r="O40" i="17" s="1"/>
  <c r="L38" i="17"/>
  <c r="L32" i="17"/>
  <c r="L30" i="17"/>
  <c r="O30" i="17" s="1"/>
  <c r="L26" i="17"/>
  <c r="O26" i="17" s="1"/>
  <c r="L24" i="17"/>
  <c r="O24" i="17" s="1"/>
  <c r="L22" i="17"/>
  <c r="O22" i="17" s="1"/>
  <c r="L20" i="17"/>
  <c r="O20" i="17" s="1"/>
  <c r="L18" i="17"/>
  <c r="L16" i="17"/>
  <c r="I50" i="17" l="1"/>
  <c r="I51" i="17" s="1"/>
  <c r="I52" i="17" s="1"/>
  <c r="I48" i="17"/>
  <c r="I49" i="17" s="1"/>
  <c r="L52" i="17"/>
  <c r="I42" i="17"/>
  <c r="I43" i="17" s="1"/>
  <c r="I36" i="17"/>
  <c r="I37" i="17" s="1"/>
  <c r="I34" i="17"/>
  <c r="I35" i="17" s="1"/>
  <c r="I30" i="17"/>
  <c r="I46" i="17"/>
  <c r="I44" i="17"/>
  <c r="O44" i="17"/>
  <c r="I40" i="17"/>
  <c r="I38" i="17"/>
  <c r="O38" i="17"/>
  <c r="O32" i="17"/>
  <c r="I32" i="17"/>
  <c r="I28" i="17"/>
  <c r="I26" i="17"/>
  <c r="I29" i="17" l="1"/>
  <c r="F16" i="17"/>
  <c r="F18" i="17" s="1"/>
  <c r="N52" i="17"/>
  <c r="H52" i="17"/>
  <c r="D52" i="17"/>
  <c r="O47" i="17"/>
  <c r="N47" i="17"/>
  <c r="M47" i="17"/>
  <c r="L47" i="17"/>
  <c r="H47" i="17"/>
  <c r="G47" i="17"/>
  <c r="E47" i="17"/>
  <c r="I47" i="17"/>
  <c r="N45" i="17"/>
  <c r="M45" i="17"/>
  <c r="L45" i="17"/>
  <c r="H45" i="17"/>
  <c r="G45" i="17"/>
  <c r="E45" i="17"/>
  <c r="O45" i="17"/>
  <c r="I45" i="17"/>
  <c r="N41" i="17"/>
  <c r="M41" i="17"/>
  <c r="L41" i="17"/>
  <c r="H41" i="17"/>
  <c r="G41" i="17"/>
  <c r="E41" i="17"/>
  <c r="O41" i="17"/>
  <c r="I41" i="17"/>
  <c r="N39" i="17"/>
  <c r="M39" i="17"/>
  <c r="L39" i="17"/>
  <c r="H39" i="17"/>
  <c r="G39" i="17"/>
  <c r="E39" i="17"/>
  <c r="O39" i="17"/>
  <c r="I39" i="17"/>
  <c r="N33" i="17"/>
  <c r="M33" i="17"/>
  <c r="L33" i="17"/>
  <c r="H33" i="17"/>
  <c r="G33" i="17"/>
  <c r="E33" i="17"/>
  <c r="O33" i="17"/>
  <c r="N31" i="17"/>
  <c r="M31" i="17"/>
  <c r="L31" i="17"/>
  <c r="H31" i="17"/>
  <c r="G31" i="17"/>
  <c r="E31" i="17"/>
  <c r="O31" i="17"/>
  <c r="I31" i="17"/>
  <c r="N27" i="17"/>
  <c r="M27" i="17"/>
  <c r="L27" i="17"/>
  <c r="H27" i="17"/>
  <c r="G27" i="17"/>
  <c r="E27" i="17"/>
  <c r="O27" i="17"/>
  <c r="N25" i="17"/>
  <c r="M25" i="17"/>
  <c r="L25" i="17"/>
  <c r="H25" i="17"/>
  <c r="G25" i="17"/>
  <c r="E25" i="17"/>
  <c r="O25" i="17"/>
  <c r="I24" i="17"/>
  <c r="I25" i="17" s="1"/>
  <c r="N23" i="17"/>
  <c r="M23" i="17"/>
  <c r="L23" i="17"/>
  <c r="H23" i="17"/>
  <c r="G23" i="17"/>
  <c r="E23" i="17"/>
  <c r="O23" i="17"/>
  <c r="I22" i="17"/>
  <c r="I23" i="17" s="1"/>
  <c r="N21" i="17"/>
  <c r="M21" i="17"/>
  <c r="L21" i="17"/>
  <c r="H21" i="17"/>
  <c r="G21" i="17"/>
  <c r="E21" i="17"/>
  <c r="O21" i="17"/>
  <c r="I20" i="17"/>
  <c r="I21" i="17" s="1"/>
  <c r="N19" i="17"/>
  <c r="M19" i="17"/>
  <c r="L19" i="17"/>
  <c r="H19" i="17"/>
  <c r="G19" i="17"/>
  <c r="E19" i="17"/>
  <c r="O18" i="17"/>
  <c r="O19" i="17" s="1"/>
  <c r="I18" i="17"/>
  <c r="I19" i="17" s="1"/>
  <c r="D18" i="17"/>
  <c r="D19" i="17" s="1"/>
  <c r="N17" i="17"/>
  <c r="M17" i="17"/>
  <c r="L17" i="17"/>
  <c r="H17" i="17"/>
  <c r="G17" i="17"/>
  <c r="E17" i="17"/>
  <c r="D17" i="17"/>
  <c r="O16" i="17"/>
  <c r="O52" i="17" s="1"/>
  <c r="K16" i="17"/>
  <c r="K17" i="17" s="1"/>
  <c r="J16" i="17"/>
  <c r="J17" i="17" s="1"/>
  <c r="I16" i="17"/>
  <c r="Q16" i="17" s="1"/>
  <c r="Q17" i="17" s="1"/>
  <c r="F19" i="17" l="1"/>
  <c r="I33" i="17"/>
  <c r="O17" i="17"/>
  <c r="F17" i="17"/>
  <c r="F20" i="17"/>
  <c r="F21" i="17" s="1"/>
  <c r="Q52" i="17"/>
  <c r="P17" i="17"/>
  <c r="I27" i="17"/>
  <c r="K18" i="17"/>
  <c r="D20" i="17"/>
  <c r="I17" i="17"/>
  <c r="J18" i="17"/>
  <c r="J19" i="17" s="1"/>
  <c r="Q18" i="17"/>
  <c r="Q19" i="17" s="1"/>
  <c r="F22" i="17" l="1"/>
  <c r="F23" i="17" s="1"/>
  <c r="K19" i="17"/>
  <c r="P19" i="17"/>
  <c r="Q20" i="17"/>
  <c r="Q21" i="17" s="1"/>
  <c r="J20" i="17"/>
  <c r="J21" i="17" s="1"/>
  <c r="D21" i="17"/>
  <c r="D22" i="17"/>
  <c r="K20" i="17"/>
  <c r="F24" i="17" l="1"/>
  <c r="F26" i="17" s="1"/>
  <c r="F28" i="17" s="1"/>
  <c r="K21" i="17"/>
  <c r="P21" i="17"/>
  <c r="D23" i="17"/>
  <c r="Q22" i="17"/>
  <c r="Q23" i="17" s="1"/>
  <c r="J22" i="17"/>
  <c r="J23" i="17" s="1"/>
  <c r="D24" i="17"/>
  <c r="K22" i="17"/>
  <c r="F29" i="17" l="1"/>
  <c r="F30" i="17"/>
  <c r="F25" i="17"/>
  <c r="F27" i="17"/>
  <c r="K23" i="17"/>
  <c r="P23" i="17"/>
  <c r="D25" i="17"/>
  <c r="K24" i="17"/>
  <c r="Q24" i="17"/>
  <c r="Q25" i="17" s="1"/>
  <c r="D26" i="17"/>
  <c r="D28" i="17" s="1"/>
  <c r="J24" i="17"/>
  <c r="J25" i="17" s="1"/>
  <c r="D29" i="17" l="1"/>
  <c r="J28" i="17"/>
  <c r="J29" i="17" s="1"/>
  <c r="K28" i="17"/>
  <c r="K29" i="17" s="1"/>
  <c r="Q28" i="17"/>
  <c r="Q29" i="17" s="1"/>
  <c r="F32" i="17"/>
  <c r="F34" i="17" s="1"/>
  <c r="F31" i="17"/>
  <c r="Q26" i="17"/>
  <c r="Q27" i="17" s="1"/>
  <c r="J26" i="17"/>
  <c r="J27" i="17" s="1"/>
  <c r="D30" i="17"/>
  <c r="D27" i="17"/>
  <c r="K26" i="17"/>
  <c r="P25" i="17"/>
  <c r="K25" i="17"/>
  <c r="F35" i="17" l="1"/>
  <c r="F36" i="17"/>
  <c r="F33" i="17"/>
  <c r="D32" i="17"/>
  <c r="D34" i="17" s="1"/>
  <c r="D31" i="17"/>
  <c r="K30" i="17"/>
  <c r="Q30" i="17"/>
  <c r="Q31" i="17" s="1"/>
  <c r="J30" i="17"/>
  <c r="J31" i="17" s="1"/>
  <c r="K27" i="17"/>
  <c r="P27" i="17"/>
  <c r="F37" i="17" l="1"/>
  <c r="F38" i="17"/>
  <c r="D35" i="17"/>
  <c r="D36" i="17"/>
  <c r="J34" i="17"/>
  <c r="J35" i="17" s="1"/>
  <c r="Q34" i="17"/>
  <c r="Q35" i="17" s="1"/>
  <c r="F40" i="17"/>
  <c r="F42" i="17" s="1"/>
  <c r="F39" i="17"/>
  <c r="D33" i="17"/>
  <c r="Q32" i="17"/>
  <c r="Q33" i="17" s="1"/>
  <c r="J32" i="17"/>
  <c r="J33" i="17" s="1"/>
  <c r="D38" i="17"/>
  <c r="P31" i="17"/>
  <c r="K31" i="17"/>
  <c r="F43" i="17" l="1"/>
  <c r="F44" i="17"/>
  <c r="D37" i="17"/>
  <c r="J36" i="17"/>
  <c r="J37" i="17" s="1"/>
  <c r="Q36" i="17"/>
  <c r="Q37" i="17" s="1"/>
  <c r="F41" i="17"/>
  <c r="D39" i="17"/>
  <c r="K38" i="17"/>
  <c r="Q38" i="17"/>
  <c r="Q39" i="17" s="1"/>
  <c r="J38" i="17"/>
  <c r="J39" i="17" s="1"/>
  <c r="K32" i="17"/>
  <c r="D40" i="17"/>
  <c r="D42" i="17" l="1"/>
  <c r="K34" i="17"/>
  <c r="K35" i="17" s="1"/>
  <c r="F46" i="17"/>
  <c r="F48" i="17" s="1"/>
  <c r="F45" i="17"/>
  <c r="Q40" i="17"/>
  <c r="Q41" i="17" s="1"/>
  <c r="J40" i="17"/>
  <c r="J41" i="17" s="1"/>
  <c r="D44" i="17"/>
  <c r="K36" i="17" s="1"/>
  <c r="K37" i="17" s="1"/>
  <c r="D41" i="17"/>
  <c r="K40" i="17"/>
  <c r="K39" i="17"/>
  <c r="P39" i="17"/>
  <c r="K33" i="17"/>
  <c r="P33" i="17"/>
  <c r="F49" i="17" l="1"/>
  <c r="F50" i="17"/>
  <c r="F51" i="17" s="1"/>
  <c r="F52" i="17" s="1"/>
  <c r="D43" i="17"/>
  <c r="J42" i="17"/>
  <c r="J43" i="17" s="1"/>
  <c r="K42" i="17"/>
  <c r="K43" i="17" s="1"/>
  <c r="Q42" i="17"/>
  <c r="Q43" i="17" s="1"/>
  <c r="F47" i="17"/>
  <c r="D46" i="17"/>
  <c r="D48" i="17" s="1"/>
  <c r="D45" i="17"/>
  <c r="K44" i="17"/>
  <c r="Q44" i="17"/>
  <c r="Q45" i="17" s="1"/>
  <c r="J44" i="17"/>
  <c r="J45" i="17" s="1"/>
  <c r="K41" i="17"/>
  <c r="P41" i="17"/>
  <c r="D49" i="17" l="1"/>
  <c r="D50" i="17"/>
  <c r="J48" i="17"/>
  <c r="J49" i="17" s="1"/>
  <c r="K48" i="17"/>
  <c r="K49" i="17" s="1"/>
  <c r="Q48" i="17"/>
  <c r="Q49" i="17" s="1"/>
  <c r="P45" i="17"/>
  <c r="K45" i="17"/>
  <c r="D47" i="17"/>
  <c r="K46" i="17"/>
  <c r="Q46" i="17"/>
  <c r="Q47" i="17" s="1"/>
  <c r="J46" i="17"/>
  <c r="J47" i="17" s="1"/>
  <c r="K50" i="17" l="1"/>
  <c r="K51" i="17" s="1"/>
  <c r="Q50" i="17"/>
  <c r="Q51" i="17" s="1"/>
  <c r="D51" i="17"/>
  <c r="J50" i="17"/>
  <c r="J51" i="17" s="1"/>
  <c r="K47" i="17"/>
  <c r="P47" i="17"/>
</calcChain>
</file>

<file path=xl/sharedStrings.xml><?xml version="1.0" encoding="utf-8"?>
<sst xmlns="http://schemas.openxmlformats.org/spreadsheetml/2006/main" count="84" uniqueCount="62">
  <si>
    <t>SUBSTANCE ABUSE PREVENTION &amp; CONTROL- FINANCIAL SERVICES DIVISION</t>
  </si>
  <si>
    <t>CONTRACT PERFORMANCE DATA REPORT</t>
  </si>
  <si>
    <t>Address:</t>
  </si>
  <si>
    <t>Contract Number:</t>
  </si>
  <si>
    <t>Month of service</t>
  </si>
  <si>
    <t>Adjustment</t>
  </si>
  <si>
    <t>Contract Amount</t>
  </si>
  <si>
    <t>YTD Billed FFS</t>
  </si>
  <si>
    <t>YTD Voided</t>
  </si>
  <si>
    <t>YTD Paid</t>
  </si>
  <si>
    <t>Current Payment</t>
  </si>
  <si>
    <t>Recoup</t>
  </si>
  <si>
    <t>Actual Payment</t>
  </si>
  <si>
    <t>Provider Name:</t>
  </si>
  <si>
    <t>SOW</t>
  </si>
  <si>
    <t>Processed Date</t>
  </si>
  <si>
    <t>Grand Total</t>
  </si>
  <si>
    <t>Monthly Max(a/12)</t>
  </si>
  <si>
    <t>Carry Over(request-monthly max)</t>
  </si>
  <si>
    <t>Remaining Balance(D-I)</t>
  </si>
  <si>
    <t>Total -July</t>
  </si>
  <si>
    <t>Total-Aug</t>
  </si>
  <si>
    <t>Total-Sep</t>
  </si>
  <si>
    <t>Total-Oct</t>
  </si>
  <si>
    <t>YTD Max (J*month)</t>
  </si>
  <si>
    <t>Total-Nov</t>
  </si>
  <si>
    <t>Total-Dec</t>
  </si>
  <si>
    <t>Total-Jan</t>
  </si>
  <si>
    <t>Total-Feb</t>
  </si>
  <si>
    <t>Total -Mar</t>
  </si>
  <si>
    <t>Total-April</t>
  </si>
  <si>
    <t>Total-May</t>
  </si>
  <si>
    <t>Total-June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</si>
  <si>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</si>
  <si>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</si>
  <si>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</si>
  <si>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</si>
  <si>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</si>
  <si>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</si>
  <si>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</si>
  <si>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</si>
  <si>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</si>
  <si>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</si>
  <si>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</si>
  <si>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</si>
  <si>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</si>
  <si>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</si>
  <si>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Warrant Amount</t>
  </si>
  <si>
    <t>Warrant Number</t>
  </si>
  <si>
    <t>Warrant Issued Date</t>
  </si>
  <si>
    <t>Sub #</t>
  </si>
  <si>
    <t xml:space="preserve">YTD Billed Cost Reimbursement </t>
  </si>
  <si>
    <t>MONTHLY ACTIVITY FOR FISCAL YEAR 2017-2018</t>
  </si>
  <si>
    <t>Monthly Request</t>
  </si>
  <si>
    <t>Encumbrance Number:</t>
  </si>
  <si>
    <t>DMC</t>
  </si>
  <si>
    <t xml:space="preserve">DMC </t>
  </si>
  <si>
    <t>Aug-Oct Payment</t>
  </si>
  <si>
    <t>This amount will be used  for cost  report settlement</t>
  </si>
  <si>
    <t>ABC Inc.</t>
  </si>
  <si>
    <t>1000 S. Fremont</t>
  </si>
  <si>
    <t>H-123456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</si>
</sst>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64" formatCode="0.00_)"/>
    <numFmt numFmtId="165" formatCode="[$-409]mmm\-yy;@"/>
    <numFmt numFmtId="166" formatCode="m/d/yy;@"/>
    <numFmt numFmtId="167" formatCode="&quot;$&quot;#,##0.00"/>
  </numFmts>
  <fonts count="25" x14ac:knownFonts="1">
    <font>
      <sz val="12"/>
      <name val="Helv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Helv"/>
    </font>
    <font>
      <b/>
      <sz val="12"/>
      <name val="Times New Roman"/>
      <family val="1"/>
    </font>
    <font>
      <b/>
      <sz val="12"/>
      <name val="Helv"/>
    </font>
    <font>
      <sz val="9"/>
      <name val="Helv"/>
    </font>
    <font>
      <b/>
      <sz val="10"/>
      <name val="Times New Roman"/>
      <family val="1"/>
    </font>
    <font>
      <sz val="8"/>
      <name val="Helv"/>
    </font>
    <font>
      <sz val="12"/>
      <name val="Arial"/>
      <family val="2"/>
    </font>
    <font>
      <b/>
      <sz val="12"/>
      <name val="Arial"/>
      <family val="2"/>
    </font>
    <font>
      <b/>
      <sz val="8"/>
      <name val="Helv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12"/>
      <name val="Cambria"/>
      <family val="1"/>
      <scheme val="major"/>
    </font>
    <font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1"/>
      <name val="Helv"/>
    </font>
    <font>
      <sz val="12"/>
      <name val="Times New Roman"/>
      <family val="1"/>
    </font>
    <font>
      <sz val="11"/>
      <name val="Cambria"/>
      <family val="1"/>
      <scheme val="major"/>
    </font>
    <font>
      <sz val="11"/>
      <color theme="1"/>
      <name val="Aharoni"/>
      <charset val="177"/>
    </font>
    <font>
      <b/>
      <sz val="11"/>
      <name val="Cambria"/>
      <family val="1"/>
      <scheme val="major"/>
    </font>
    <font>
      <b/>
      <sz val="11"/>
      <color rgb="FFFF0000"/>
      <name val="Arial"/>
      <family val="2"/>
    </font>
    <font>
      <sz val="12"/>
      <color rgb="FFFF0000"/>
      <name val="Helv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164" fontId="0" fillId="0" borderId="0"/>
  </cellStyleXfs>
  <cellXfs count="93">
    <xf numFmtId="164" fontId="0" fillId="0" borderId="0" xfId="0"/>
    <xf numFmtId="164" fontId="6" fillId="0" borderId="0" xfId="0" applyFont="1"/>
    <xf numFmtId="164" fontId="8" fillId="0" borderId="0" xfId="0" applyFont="1"/>
    <xf numFmtId="164" fontId="0" fillId="0" borderId="0" xfId="0" applyFont="1" applyBorder="1"/>
    <xf numFmtId="164" fontId="5" fillId="0" borderId="0" xfId="0" applyFont="1" applyBorder="1"/>
    <xf numFmtId="165" fontId="5" fillId="0" borderId="0" xfId="0" quotePrefix="1" applyNumberFormat="1" applyFont="1" applyBorder="1"/>
    <xf numFmtId="164" fontId="0" fillId="0" borderId="0" xfId="0" applyBorder="1"/>
    <xf numFmtId="164" fontId="1" fillId="0" borderId="1" xfId="0" applyFont="1" applyFill="1" applyBorder="1" applyAlignment="1"/>
    <xf numFmtId="164" fontId="7" fillId="0" borderId="4" xfId="0" applyFont="1" applyFill="1" applyBorder="1" applyAlignment="1"/>
    <xf numFmtId="164" fontId="3" fillId="0" borderId="4" xfId="0" applyFont="1" applyFill="1" applyBorder="1" applyAlignment="1"/>
    <xf numFmtId="164" fontId="5" fillId="0" borderId="1" xfId="0" applyFont="1" applyBorder="1" applyAlignment="1"/>
    <xf numFmtId="164" fontId="0" fillId="0" borderId="1" xfId="0" applyFont="1" applyBorder="1" applyAlignment="1"/>
    <xf numFmtId="41" fontId="2" fillId="0" borderId="0" xfId="0" applyNumberFormat="1" applyFont="1"/>
    <xf numFmtId="164" fontId="4" fillId="0" borderId="1" xfId="0" applyFont="1" applyFill="1" applyBorder="1" applyAlignment="1"/>
    <xf numFmtId="164" fontId="4" fillId="0" borderId="4" xfId="0" applyFont="1" applyFill="1" applyBorder="1" applyAlignment="1"/>
    <xf numFmtId="164" fontId="11" fillId="0" borderId="0" xfId="0" applyFont="1"/>
    <xf numFmtId="166" fontId="12" fillId="0" borderId="2" xfId="0" applyNumberFormat="1" applyFont="1" applyBorder="1" applyAlignment="1">
      <alignment horizontal="left" vertical="center"/>
    </xf>
    <xf numFmtId="1" fontId="14" fillId="0" borderId="2" xfId="0" applyNumberFormat="1" applyFont="1" applyBorder="1" applyAlignment="1">
      <alignment horizontal="left" vertical="center"/>
    </xf>
    <xf numFmtId="2" fontId="13" fillId="0" borderId="14" xfId="0" applyNumberFormat="1" applyFont="1" applyBorder="1" applyAlignment="1">
      <alignment horizontal="center" vertical="center"/>
    </xf>
    <xf numFmtId="2" fontId="18" fillId="0" borderId="11" xfId="0" applyNumberFormat="1" applyFont="1" applyBorder="1"/>
    <xf numFmtId="2" fontId="18" fillId="0" borderId="11" xfId="0" applyNumberFormat="1" applyFont="1" applyBorder="1" applyAlignment="1">
      <alignment horizontal="center" vertical="center"/>
    </xf>
    <xf numFmtId="39" fontId="17" fillId="0" borderId="11" xfId="0" applyNumberFormat="1" applyFont="1" applyBorder="1" applyAlignment="1">
      <alignment horizontal="center" vertical="center"/>
    </xf>
    <xf numFmtId="164" fontId="19" fillId="0" borderId="0" xfId="0" applyFont="1" applyFill="1" applyBorder="1" applyAlignment="1"/>
    <xf numFmtId="164" fontId="4" fillId="0" borderId="0" xfId="0" applyFont="1" applyFill="1" applyBorder="1" applyAlignment="1"/>
    <xf numFmtId="164" fontId="7" fillId="0" borderId="0" xfId="0" applyFont="1" applyFill="1" applyBorder="1" applyAlignment="1"/>
    <xf numFmtId="164" fontId="0" fillId="0" borderId="0" xfId="0" applyFont="1" applyBorder="1" applyAlignment="1"/>
    <xf numFmtId="164" fontId="5" fillId="0" borderId="1" xfId="0" applyFont="1" applyBorder="1"/>
    <xf numFmtId="1" fontId="20" fillId="0" borderId="2" xfId="0" applyNumberFormat="1" applyFont="1" applyFill="1" applyBorder="1" applyAlignment="1">
      <alignment horizontal="left" vertical="center"/>
    </xf>
    <xf numFmtId="167" fontId="20" fillId="0" borderId="2" xfId="0" applyNumberFormat="1" applyFont="1" applyFill="1" applyBorder="1" applyAlignment="1">
      <alignment horizontal="left" vertical="center"/>
    </xf>
    <xf numFmtId="17" fontId="15" fillId="3" borderId="6" xfId="0" applyNumberFormat="1" applyFont="1" applyFill="1" applyBorder="1" applyAlignment="1">
      <alignment horizontal="center" vertical="center"/>
    </xf>
    <xf numFmtId="4" fontId="16" fillId="3" borderId="6" xfId="0" applyNumberFormat="1" applyFont="1" applyFill="1" applyBorder="1" applyAlignment="1">
      <alignment horizontal="center" vertical="center"/>
    </xf>
    <xf numFmtId="164" fontId="16" fillId="3" borderId="6" xfId="0" applyFont="1" applyFill="1" applyBorder="1" applyAlignment="1">
      <alignment horizontal="center" vertical="center"/>
    </xf>
    <xf numFmtId="39" fontId="16" fillId="3" borderId="6" xfId="0" applyNumberFormat="1" applyFont="1" applyFill="1" applyBorder="1" applyAlignment="1">
      <alignment horizontal="center" vertical="center"/>
    </xf>
    <xf numFmtId="4" fontId="1" fillId="3" borderId="8" xfId="0" applyNumberFormat="1" applyFont="1" applyFill="1" applyBorder="1" applyAlignment="1">
      <alignment horizontal="center" vertical="center"/>
    </xf>
    <xf numFmtId="4" fontId="17" fillId="3" borderId="8" xfId="0" applyNumberFormat="1" applyFont="1" applyFill="1" applyBorder="1" applyAlignment="1">
      <alignment horizontal="center" vertical="center"/>
    </xf>
    <xf numFmtId="4" fontId="13" fillId="3" borderId="12" xfId="0" applyNumberFormat="1" applyFont="1" applyFill="1" applyBorder="1" applyAlignment="1">
      <alignment horizontal="center" vertical="center"/>
    </xf>
    <xf numFmtId="17" fontId="15" fillId="4" borderId="7" xfId="0" applyNumberFormat="1" applyFont="1" applyFill="1" applyBorder="1" applyAlignment="1">
      <alignment horizontal="center" vertical="center"/>
    </xf>
    <xf numFmtId="4" fontId="16" fillId="4" borderId="7" xfId="0" applyNumberFormat="1" applyFont="1" applyFill="1" applyBorder="1" applyAlignment="1">
      <alignment horizontal="center" vertical="center"/>
    </xf>
    <xf numFmtId="164" fontId="16" fillId="4" borderId="7" xfId="0" applyFont="1" applyFill="1" applyBorder="1" applyAlignment="1">
      <alignment horizontal="center" vertical="center"/>
    </xf>
    <xf numFmtId="39" fontId="16" fillId="4" borderId="7" xfId="0" applyNumberFormat="1" applyFont="1" applyFill="1" applyBorder="1" applyAlignment="1">
      <alignment horizontal="center" vertical="center"/>
    </xf>
    <xf numFmtId="14" fontId="12" fillId="4" borderId="9" xfId="0" applyNumberFormat="1" applyFont="1" applyFill="1" applyBorder="1" applyAlignment="1">
      <alignment horizontal="center" vertical="center"/>
    </xf>
    <xf numFmtId="4" fontId="1" fillId="4" borderId="8" xfId="0" applyNumberFormat="1" applyFont="1" applyFill="1" applyBorder="1" applyAlignment="1">
      <alignment horizontal="center" vertical="center"/>
    </xf>
    <xf numFmtId="4" fontId="17" fillId="4" borderId="8" xfId="0" applyNumberFormat="1" applyFont="1" applyFill="1" applyBorder="1" applyAlignment="1">
      <alignment horizontal="center" vertical="center"/>
    </xf>
    <xf numFmtId="4" fontId="13" fillId="4" borderId="12" xfId="0" applyNumberFormat="1" applyFont="1" applyFill="1" applyBorder="1" applyAlignment="1">
      <alignment horizontal="center" vertical="center"/>
    </xf>
    <xf numFmtId="17" fontId="15" fillId="3" borderId="7" xfId="0" applyNumberFormat="1" applyFont="1" applyFill="1" applyBorder="1" applyAlignment="1">
      <alignment horizontal="center" vertical="center"/>
    </xf>
    <xf numFmtId="4" fontId="16" fillId="3" borderId="7" xfId="0" applyNumberFormat="1" applyFont="1" applyFill="1" applyBorder="1" applyAlignment="1">
      <alignment horizontal="center" vertical="center"/>
    </xf>
    <xf numFmtId="164" fontId="16" fillId="3" borderId="7" xfId="0" applyFont="1" applyFill="1" applyBorder="1" applyAlignment="1">
      <alignment horizontal="center" vertical="center"/>
    </xf>
    <xf numFmtId="39" fontId="16" fillId="3" borderId="7" xfId="0" applyNumberFormat="1" applyFont="1" applyFill="1" applyBorder="1" applyAlignment="1">
      <alignment horizontal="center" vertical="center"/>
    </xf>
    <xf numFmtId="14" fontId="12" fillId="3" borderId="9" xfId="0" applyNumberFormat="1" applyFont="1" applyFill="1" applyBorder="1" applyAlignment="1">
      <alignment horizontal="center" vertical="center"/>
    </xf>
    <xf numFmtId="4" fontId="13" fillId="4" borderId="13" xfId="0" applyNumberFormat="1" applyFont="1" applyFill="1" applyBorder="1" applyAlignment="1">
      <alignment horizontal="center" vertical="center"/>
    </xf>
    <xf numFmtId="164" fontId="0" fillId="0" borderId="1" xfId="0" applyBorder="1"/>
    <xf numFmtId="41" fontId="17" fillId="0" borderId="2" xfId="0" applyNumberFormat="1" applyFont="1" applyBorder="1" applyAlignment="1">
      <alignment vertical="center" wrapText="1"/>
    </xf>
    <xf numFmtId="164" fontId="1" fillId="2" borderId="2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21" fillId="2" borderId="2" xfId="0" applyFont="1" applyFill="1" applyBorder="1" applyAlignment="1">
      <alignment vertical="center" wrapText="1"/>
    </xf>
    <xf numFmtId="164" fontId="18" fillId="2" borderId="2" xfId="0" applyFont="1" applyFill="1" applyBorder="1" applyAlignment="1">
      <alignment vertical="center" wrapText="1"/>
    </xf>
    <xf numFmtId="166" fontId="20" fillId="0" borderId="2" xfId="0" applyNumberFormat="1" applyFont="1" applyBorder="1" applyAlignment="1">
      <alignment horizontal="left" vertical="center"/>
    </xf>
    <xf numFmtId="14" fontId="20" fillId="3" borderId="5" xfId="0" applyNumberFormat="1" applyFont="1" applyFill="1" applyBorder="1" applyAlignment="1">
      <alignment horizontal="center" vertical="center"/>
    </xf>
    <xf numFmtId="4" fontId="22" fillId="3" borderId="12" xfId="0" applyNumberFormat="1" applyFont="1" applyFill="1" applyBorder="1" applyAlignment="1">
      <alignment horizontal="center" vertical="center"/>
    </xf>
    <xf numFmtId="14" fontId="20" fillId="4" borderId="9" xfId="0" applyNumberFormat="1" applyFont="1" applyFill="1" applyBorder="1" applyAlignment="1">
      <alignment horizontal="center" vertical="center"/>
    </xf>
    <xf numFmtId="1" fontId="20" fillId="0" borderId="2" xfId="0" applyNumberFormat="1" applyFont="1" applyBorder="1" applyAlignment="1">
      <alignment horizontal="left" vertical="center"/>
    </xf>
    <xf numFmtId="1" fontId="22" fillId="0" borderId="2" xfId="0" applyNumberFormat="1" applyFont="1" applyBorder="1" applyAlignment="1">
      <alignment horizontal="left" vertical="center"/>
    </xf>
    <xf numFmtId="166" fontId="22" fillId="0" borderId="2" xfId="0" applyNumberFormat="1" applyFont="1" applyBorder="1" applyAlignment="1">
      <alignment horizontal="left" vertical="center"/>
    </xf>
    <xf numFmtId="39" fontId="16" fillId="3" borderId="15" xfId="0" applyNumberFormat="1" applyFont="1" applyFill="1" applyBorder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14" fontId="20" fillId="3" borderId="9" xfId="0" applyNumberFormat="1" applyFont="1" applyFill="1" applyBorder="1" applyAlignment="1">
      <alignment horizontal="center" vertical="center"/>
    </xf>
    <xf numFmtId="164" fontId="5" fillId="0" borderId="0" xfId="0" applyFont="1" applyAlignment="1">
      <alignment horizontal="center"/>
    </xf>
    <xf numFmtId="4" fontId="17" fillId="3" borderId="16" xfId="0" applyNumberFormat="1" applyFont="1" applyFill="1" applyBorder="1" applyAlignment="1">
      <alignment horizontal="center" vertical="center"/>
    </xf>
    <xf numFmtId="17" fontId="15" fillId="3" borderId="6" xfId="0" applyNumberFormat="1" applyFont="1" applyFill="1" applyBorder="1" applyAlignment="1">
      <alignment horizontal="center" vertical="center" wrapText="1"/>
    </xf>
    <xf numFmtId="4" fontId="1" fillId="4" borderId="10" xfId="0" applyNumberFormat="1" applyFont="1" applyFill="1" applyBorder="1" applyAlignment="1">
      <alignment horizontal="center" vertical="center" wrapText="1"/>
    </xf>
    <xf numFmtId="4" fontId="13" fillId="4" borderId="0" xfId="0" applyNumberFormat="1" applyFont="1" applyFill="1" applyBorder="1" applyAlignment="1">
      <alignment horizontal="center" vertical="center"/>
    </xf>
    <xf numFmtId="167" fontId="20" fillId="0" borderId="2" xfId="0" applyNumberFormat="1" applyFont="1" applyBorder="1" applyAlignment="1">
      <alignment horizontal="left" vertical="center"/>
    </xf>
    <xf numFmtId="167" fontId="22" fillId="0" borderId="2" xfId="0" applyNumberFormat="1" applyFont="1" applyBorder="1" applyAlignment="1">
      <alignment horizontal="left" vertical="center"/>
    </xf>
    <xf numFmtId="167" fontId="14" fillId="0" borderId="2" xfId="0" applyNumberFormat="1" applyFont="1" applyBorder="1" applyAlignment="1">
      <alignment horizontal="left" vertical="center"/>
    </xf>
    <xf numFmtId="167" fontId="0" fillId="0" borderId="0" xfId="0" applyNumberFormat="1"/>
    <xf numFmtId="164" fontId="1" fillId="2" borderId="18" xfId="0" applyFont="1" applyFill="1" applyBorder="1" applyAlignment="1">
      <alignment horizontal="center" vertical="center"/>
    </xf>
    <xf numFmtId="164" fontId="15" fillId="3" borderId="19" xfId="0" applyFont="1" applyFill="1" applyBorder="1" applyAlignment="1">
      <alignment horizontal="center" vertical="center" wrapText="1"/>
    </xf>
    <xf numFmtId="4" fontId="1" fillId="3" borderId="20" xfId="0" applyNumberFormat="1" applyFont="1" applyFill="1" applyBorder="1" applyAlignment="1">
      <alignment horizontal="center" vertical="center" wrapText="1"/>
    </xf>
    <xf numFmtId="164" fontId="15" fillId="4" borderId="19" xfId="0" applyFont="1" applyFill="1" applyBorder="1" applyAlignment="1">
      <alignment horizontal="center" vertical="center" wrapText="1"/>
    </xf>
    <xf numFmtId="4" fontId="1" fillId="4" borderId="20" xfId="0" applyNumberFormat="1" applyFont="1" applyFill="1" applyBorder="1" applyAlignment="1">
      <alignment horizontal="center" vertical="center" wrapText="1"/>
    </xf>
    <xf numFmtId="4" fontId="1" fillId="4" borderId="21" xfId="0" applyNumberFormat="1" applyFont="1" applyFill="1" applyBorder="1" applyAlignment="1">
      <alignment horizontal="center" vertical="center" wrapText="1"/>
    </xf>
    <xf numFmtId="164" fontId="15" fillId="3" borderId="17" xfId="0" applyFont="1" applyFill="1" applyBorder="1" applyAlignment="1">
      <alignment horizontal="center" vertical="center" wrapText="1"/>
    </xf>
    <xf numFmtId="164" fontId="15" fillId="4" borderId="17" xfId="0" applyFont="1" applyFill="1" applyBorder="1" applyAlignment="1">
      <alignment horizontal="center" vertical="center" wrapText="1"/>
    </xf>
    <xf numFmtId="2" fontId="1" fillId="0" borderId="22" xfId="0" applyNumberFormat="1" applyFont="1" applyBorder="1"/>
    <xf numFmtId="41" fontId="10" fillId="0" borderId="2" xfId="0" applyNumberFormat="1" applyFont="1" applyBorder="1"/>
    <xf numFmtId="41" fontId="4" fillId="0" borderId="2" xfId="0" applyNumberFormat="1" applyFont="1" applyBorder="1"/>
    <xf numFmtId="1" fontId="10" fillId="0" borderId="2" xfId="0" applyNumberFormat="1" applyFont="1" applyBorder="1"/>
    <xf numFmtId="164" fontId="5" fillId="0" borderId="0" xfId="0" applyFont="1" applyAlignment="1">
      <alignment horizontal="center"/>
    </xf>
    <xf numFmtId="164" fontId="9" fillId="0" borderId="0" xfId="0" applyFont="1" applyAlignment="1">
      <alignment horizontal="left"/>
    </xf>
    <xf numFmtId="4" fontId="23" fillId="5" borderId="16" xfId="0" applyNumberFormat="1" applyFont="1" applyFill="1" applyBorder="1" applyAlignment="1">
      <alignment horizontal="center" vertical="center"/>
    </xf>
    <xf numFmtId="164" fontId="1" fillId="5" borderId="2" xfId="0" applyFont="1" applyFill="1" applyBorder="1" applyAlignment="1">
      <alignment horizontal="center" vertical="center" wrapText="1"/>
    </xf>
    <xf numFmtId="164" fontId="9" fillId="0" borderId="0" xfId="0" applyFont="1" applyFill="1" applyBorder="1" applyAlignment="1">
      <alignment vertical="center"/>
    </xf>
    <xf numFmtId="164" fontId="24" fillId="5" borderId="2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CCFFCC"/>
      <color rgb="FFCC00CC"/>
      <color rgb="FFE3580B"/>
      <color rgb="FFD23A1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20</xdr:row>
      <xdr:rowOff>268941</xdr:rowOff>
    </xdr:from>
    <xdr:to>
      <xdr:col>17</xdr:col>
      <xdr:colOff>22412</xdr:colOff>
      <xdr:row>22</xdr:row>
      <xdr:rowOff>0</xdr:rowOff>
    </xdr:to>
    <xdr:sp macro="" textlink="">
      <xdr:nvSpPr>
        <xdr:cNvPr id="4" name="Fram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177260" y="5823921"/>
          <a:ext cx="22412" cy="515919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0</xdr:rowOff>
    </xdr:from>
    <xdr:to>
      <xdr:col>12</xdr:col>
      <xdr:colOff>33618</xdr:colOff>
      <xdr:row>25</xdr:row>
      <xdr:rowOff>739588</xdr:rowOff>
    </xdr:to>
    <xdr:sp macro="" textlink="">
      <xdr:nvSpPr>
        <xdr:cNvPr id="5" name="Fram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370820" y="7376160"/>
          <a:ext cx="1001358" cy="503368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0</xdr:colOff>
      <xdr:row>29</xdr:row>
      <xdr:rowOff>0</xdr:rowOff>
    </xdr:from>
    <xdr:to>
      <xdr:col>12</xdr:col>
      <xdr:colOff>33618</xdr:colOff>
      <xdr:row>29</xdr:row>
      <xdr:rowOff>739588</xdr:rowOff>
    </xdr:to>
    <xdr:sp macro="" textlink="">
      <xdr:nvSpPr>
        <xdr:cNvPr id="6" name="Fram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370820" y="8221980"/>
          <a:ext cx="1001358" cy="503368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0</xdr:colOff>
      <xdr:row>31</xdr:row>
      <xdr:rowOff>0</xdr:rowOff>
    </xdr:from>
    <xdr:to>
      <xdr:col>12</xdr:col>
      <xdr:colOff>33618</xdr:colOff>
      <xdr:row>31</xdr:row>
      <xdr:rowOff>739588</xdr:rowOff>
    </xdr:to>
    <xdr:sp macro="" textlink="">
      <xdr:nvSpPr>
        <xdr:cNvPr id="7" name="Fram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370820" y="9029700"/>
          <a:ext cx="1001358" cy="503368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12</xdr:col>
      <xdr:colOff>33618</xdr:colOff>
      <xdr:row>37</xdr:row>
      <xdr:rowOff>739588</xdr:rowOff>
    </xdr:to>
    <xdr:sp macro="" textlink="">
      <xdr:nvSpPr>
        <xdr:cNvPr id="8" name="Fram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370820" y="9875520"/>
          <a:ext cx="1001358" cy="503368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12</xdr:col>
      <xdr:colOff>33618</xdr:colOff>
      <xdr:row>39</xdr:row>
      <xdr:rowOff>739588</xdr:rowOff>
    </xdr:to>
    <xdr:sp macro="" textlink="">
      <xdr:nvSpPr>
        <xdr:cNvPr id="9" name="Fram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370820" y="10683240"/>
          <a:ext cx="1001358" cy="503368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12</xdr:col>
      <xdr:colOff>33618</xdr:colOff>
      <xdr:row>43</xdr:row>
      <xdr:rowOff>739588</xdr:rowOff>
    </xdr:to>
    <xdr:sp macro="" textlink="">
      <xdr:nvSpPr>
        <xdr:cNvPr id="10" name="Fram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370820" y="11490960"/>
          <a:ext cx="1001358" cy="503368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12</xdr:col>
      <xdr:colOff>33618</xdr:colOff>
      <xdr:row>45</xdr:row>
      <xdr:rowOff>739588</xdr:rowOff>
    </xdr:to>
    <xdr:sp macro="" textlink="">
      <xdr:nvSpPr>
        <xdr:cNvPr id="11" name="Fram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370820" y="12298680"/>
          <a:ext cx="1001358" cy="503368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0</xdr:colOff>
      <xdr:row>23</xdr:row>
      <xdr:rowOff>0</xdr:rowOff>
    </xdr:from>
    <xdr:to>
      <xdr:col>17</xdr:col>
      <xdr:colOff>22412</xdr:colOff>
      <xdr:row>24</xdr:row>
      <xdr:rowOff>0</xdr:rowOff>
    </xdr:to>
    <xdr:sp macro="" textlink="">
      <xdr:nvSpPr>
        <xdr:cNvPr id="12" name="Fram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6177260" y="6583680"/>
          <a:ext cx="22412" cy="502920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0</xdr:colOff>
      <xdr:row>25</xdr:row>
      <xdr:rowOff>0</xdr:rowOff>
    </xdr:from>
    <xdr:to>
      <xdr:col>17</xdr:col>
      <xdr:colOff>22412</xdr:colOff>
      <xdr:row>25</xdr:row>
      <xdr:rowOff>750794</xdr:rowOff>
    </xdr:to>
    <xdr:sp macro="" textlink="">
      <xdr:nvSpPr>
        <xdr:cNvPr id="13" name="Fram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6177260" y="7376160"/>
          <a:ext cx="22412" cy="499334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17</xdr:col>
      <xdr:colOff>22412</xdr:colOff>
      <xdr:row>29</xdr:row>
      <xdr:rowOff>750794</xdr:rowOff>
    </xdr:to>
    <xdr:sp macro="" textlink="">
      <xdr:nvSpPr>
        <xdr:cNvPr id="14" name="Fram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6177260" y="8221980"/>
          <a:ext cx="22412" cy="499334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0</xdr:colOff>
      <xdr:row>31</xdr:row>
      <xdr:rowOff>0</xdr:rowOff>
    </xdr:from>
    <xdr:to>
      <xdr:col>17</xdr:col>
      <xdr:colOff>22412</xdr:colOff>
      <xdr:row>31</xdr:row>
      <xdr:rowOff>750794</xdr:rowOff>
    </xdr:to>
    <xdr:sp macro="" textlink="">
      <xdr:nvSpPr>
        <xdr:cNvPr id="15" name="Fram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6177260" y="9029700"/>
          <a:ext cx="22412" cy="499334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0</xdr:colOff>
      <xdr:row>37</xdr:row>
      <xdr:rowOff>0</xdr:rowOff>
    </xdr:from>
    <xdr:to>
      <xdr:col>17</xdr:col>
      <xdr:colOff>22412</xdr:colOff>
      <xdr:row>38</xdr:row>
      <xdr:rowOff>0</xdr:rowOff>
    </xdr:to>
    <xdr:sp macro="" textlink="">
      <xdr:nvSpPr>
        <xdr:cNvPr id="16" name="Fram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6177260" y="9875520"/>
          <a:ext cx="22412" cy="502920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17</xdr:col>
      <xdr:colOff>22412</xdr:colOff>
      <xdr:row>40</xdr:row>
      <xdr:rowOff>11206</xdr:rowOff>
    </xdr:to>
    <xdr:sp macro="" textlink="">
      <xdr:nvSpPr>
        <xdr:cNvPr id="17" name="Fram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6177260" y="10683240"/>
          <a:ext cx="22412" cy="514126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0</xdr:colOff>
      <xdr:row>43</xdr:row>
      <xdr:rowOff>0</xdr:rowOff>
    </xdr:from>
    <xdr:to>
      <xdr:col>17</xdr:col>
      <xdr:colOff>22412</xdr:colOff>
      <xdr:row>44</xdr:row>
      <xdr:rowOff>0</xdr:rowOff>
    </xdr:to>
    <xdr:sp macro="" textlink="">
      <xdr:nvSpPr>
        <xdr:cNvPr id="18" name="Fram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6177260" y="11490960"/>
          <a:ext cx="22412" cy="502920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0</xdr:colOff>
      <xdr:row>45</xdr:row>
      <xdr:rowOff>0</xdr:rowOff>
    </xdr:from>
    <xdr:to>
      <xdr:col>17</xdr:col>
      <xdr:colOff>22412</xdr:colOff>
      <xdr:row>46</xdr:row>
      <xdr:rowOff>22412</xdr:rowOff>
    </xdr:to>
    <xdr:sp macro="" textlink="">
      <xdr:nvSpPr>
        <xdr:cNvPr id="19" name="Fram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6177260" y="12298680"/>
          <a:ext cx="22412" cy="525332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12</xdr:col>
      <xdr:colOff>33618</xdr:colOff>
      <xdr:row>27</xdr:row>
      <xdr:rowOff>739588</xdr:rowOff>
    </xdr:to>
    <xdr:sp macro="" textlink="">
      <xdr:nvSpPr>
        <xdr:cNvPr id="22" name="Fram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0410825" y="7429500"/>
          <a:ext cx="1005168" cy="503368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17</xdr:col>
      <xdr:colOff>22412</xdr:colOff>
      <xdr:row>27</xdr:row>
      <xdr:rowOff>750794</xdr:rowOff>
    </xdr:to>
    <xdr:sp macro="" textlink="">
      <xdr:nvSpPr>
        <xdr:cNvPr id="23" name="Fram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6240125" y="7429500"/>
          <a:ext cx="22412" cy="499334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0</xdr:rowOff>
    </xdr:from>
    <xdr:to>
      <xdr:col>12</xdr:col>
      <xdr:colOff>33618</xdr:colOff>
      <xdr:row>25</xdr:row>
      <xdr:rowOff>739588</xdr:rowOff>
    </xdr:to>
    <xdr:sp macro="" textlink="">
      <xdr:nvSpPr>
        <xdr:cNvPr id="24" name="Fram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0410825" y="7429500"/>
          <a:ext cx="1005168" cy="503368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0</xdr:colOff>
      <xdr:row>25</xdr:row>
      <xdr:rowOff>0</xdr:rowOff>
    </xdr:from>
    <xdr:to>
      <xdr:col>17</xdr:col>
      <xdr:colOff>22412</xdr:colOff>
      <xdr:row>25</xdr:row>
      <xdr:rowOff>750794</xdr:rowOff>
    </xdr:to>
    <xdr:sp macro="" textlink="">
      <xdr:nvSpPr>
        <xdr:cNvPr id="25" name="Fram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6240125" y="7429500"/>
          <a:ext cx="22412" cy="499334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0</xdr:colOff>
      <xdr:row>33</xdr:row>
      <xdr:rowOff>0</xdr:rowOff>
    </xdr:from>
    <xdr:to>
      <xdr:col>12</xdr:col>
      <xdr:colOff>33618</xdr:colOff>
      <xdr:row>33</xdr:row>
      <xdr:rowOff>739588</xdr:rowOff>
    </xdr:to>
    <xdr:sp macro="" textlink="">
      <xdr:nvSpPr>
        <xdr:cNvPr id="26" name="Fram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0410825" y="9925050"/>
          <a:ext cx="1005168" cy="503368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22412</xdr:colOff>
      <xdr:row>33</xdr:row>
      <xdr:rowOff>750794</xdr:rowOff>
    </xdr:to>
    <xdr:sp macro="" textlink="">
      <xdr:nvSpPr>
        <xdr:cNvPr id="27" name="Fram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6240125" y="9925050"/>
          <a:ext cx="22412" cy="499334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12</xdr:col>
      <xdr:colOff>33618</xdr:colOff>
      <xdr:row>35</xdr:row>
      <xdr:rowOff>739588</xdr:rowOff>
    </xdr:to>
    <xdr:sp macro="" textlink="">
      <xdr:nvSpPr>
        <xdr:cNvPr id="28" name="Fram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0410825" y="10772775"/>
          <a:ext cx="1005168" cy="488128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0</xdr:colOff>
      <xdr:row>35</xdr:row>
      <xdr:rowOff>0</xdr:rowOff>
    </xdr:from>
    <xdr:to>
      <xdr:col>17</xdr:col>
      <xdr:colOff>22412</xdr:colOff>
      <xdr:row>35</xdr:row>
      <xdr:rowOff>750794</xdr:rowOff>
    </xdr:to>
    <xdr:sp macro="" textlink="">
      <xdr:nvSpPr>
        <xdr:cNvPr id="29" name="Fram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6240125" y="10772775"/>
          <a:ext cx="22412" cy="484094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33618</xdr:colOff>
      <xdr:row>41</xdr:row>
      <xdr:rowOff>739588</xdr:rowOff>
    </xdr:to>
    <xdr:sp macro="" textlink="">
      <xdr:nvSpPr>
        <xdr:cNvPr id="30" name="Frame 29">
          <a:extLst>
            <a:ext uri="{FF2B5EF4-FFF2-40B4-BE49-F238E27FC236}">
              <a16:creationId xmlns:a16="http://schemas.microsoft.com/office/drawing/2014/main" id="{F52FC052-18A1-4996-B9F0-A3C0FC149CED}"/>
            </a:ext>
          </a:extLst>
        </xdr:cNvPr>
        <xdr:cNvSpPr/>
      </xdr:nvSpPr>
      <xdr:spPr>
        <a:xfrm>
          <a:off x="10410825" y="12449175"/>
          <a:ext cx="1005168" cy="404308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17</xdr:col>
      <xdr:colOff>22412</xdr:colOff>
      <xdr:row>42</xdr:row>
      <xdr:rowOff>11206</xdr:rowOff>
    </xdr:to>
    <xdr:sp macro="" textlink="">
      <xdr:nvSpPr>
        <xdr:cNvPr id="31" name="Frame 30">
          <a:extLst>
            <a:ext uri="{FF2B5EF4-FFF2-40B4-BE49-F238E27FC236}">
              <a16:creationId xmlns:a16="http://schemas.microsoft.com/office/drawing/2014/main" id="{CA7659CA-2FE6-4089-B73F-465829939368}"/>
            </a:ext>
          </a:extLst>
        </xdr:cNvPr>
        <xdr:cNvSpPr/>
      </xdr:nvSpPr>
      <xdr:spPr>
        <a:xfrm>
          <a:off x="16240125" y="12449175"/>
          <a:ext cx="22412" cy="411256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12</xdr:col>
      <xdr:colOff>33618</xdr:colOff>
      <xdr:row>47</xdr:row>
      <xdr:rowOff>739588</xdr:rowOff>
    </xdr:to>
    <xdr:sp macro="" textlink="">
      <xdr:nvSpPr>
        <xdr:cNvPr id="32" name="Frame 31">
          <a:extLst>
            <a:ext uri="{FF2B5EF4-FFF2-40B4-BE49-F238E27FC236}">
              <a16:creationId xmlns:a16="http://schemas.microsoft.com/office/drawing/2014/main" id="{BB92A2BF-3AF1-4415-847B-9FE95B116780}"/>
            </a:ext>
          </a:extLst>
        </xdr:cNvPr>
        <xdr:cNvSpPr/>
      </xdr:nvSpPr>
      <xdr:spPr>
        <a:xfrm>
          <a:off x="10410825" y="14592300"/>
          <a:ext cx="1005168" cy="366208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0</xdr:colOff>
      <xdr:row>47</xdr:row>
      <xdr:rowOff>0</xdr:rowOff>
    </xdr:from>
    <xdr:to>
      <xdr:col>17</xdr:col>
      <xdr:colOff>22412</xdr:colOff>
      <xdr:row>48</xdr:row>
      <xdr:rowOff>22412</xdr:rowOff>
    </xdr:to>
    <xdr:sp macro="" textlink="">
      <xdr:nvSpPr>
        <xdr:cNvPr id="33" name="Frame 32">
          <a:extLst>
            <a:ext uri="{FF2B5EF4-FFF2-40B4-BE49-F238E27FC236}">
              <a16:creationId xmlns:a16="http://schemas.microsoft.com/office/drawing/2014/main" id="{8C069F3A-5264-43BE-9F5D-1CF13ED343DC}"/>
            </a:ext>
          </a:extLst>
        </xdr:cNvPr>
        <xdr:cNvSpPr/>
      </xdr:nvSpPr>
      <xdr:spPr>
        <a:xfrm>
          <a:off x="16240125" y="14592300"/>
          <a:ext cx="22412" cy="384362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12</xdr:col>
      <xdr:colOff>33618</xdr:colOff>
      <xdr:row>49</xdr:row>
      <xdr:rowOff>739588</xdr:rowOff>
    </xdr:to>
    <xdr:sp macro="" textlink="">
      <xdr:nvSpPr>
        <xdr:cNvPr id="34" name="Frame 33">
          <a:extLst>
            <a:ext uri="{FF2B5EF4-FFF2-40B4-BE49-F238E27FC236}">
              <a16:creationId xmlns:a16="http://schemas.microsoft.com/office/drawing/2014/main" id="{448638FC-8962-446D-9F8F-D5E7ADF4C625}"/>
            </a:ext>
          </a:extLst>
        </xdr:cNvPr>
        <xdr:cNvSpPr/>
      </xdr:nvSpPr>
      <xdr:spPr>
        <a:xfrm>
          <a:off x="10410825" y="15230475"/>
          <a:ext cx="1005168" cy="389068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0</xdr:colOff>
      <xdr:row>49</xdr:row>
      <xdr:rowOff>0</xdr:rowOff>
    </xdr:from>
    <xdr:to>
      <xdr:col>17</xdr:col>
      <xdr:colOff>22412</xdr:colOff>
      <xdr:row>50</xdr:row>
      <xdr:rowOff>22412</xdr:rowOff>
    </xdr:to>
    <xdr:sp macro="" textlink="">
      <xdr:nvSpPr>
        <xdr:cNvPr id="35" name="Frame 34">
          <a:extLst>
            <a:ext uri="{FF2B5EF4-FFF2-40B4-BE49-F238E27FC236}">
              <a16:creationId xmlns:a16="http://schemas.microsoft.com/office/drawing/2014/main" id="{46A58BBF-8868-4D03-A370-12861ADF7DE5}"/>
            </a:ext>
          </a:extLst>
        </xdr:cNvPr>
        <xdr:cNvSpPr/>
      </xdr:nvSpPr>
      <xdr:spPr>
        <a:xfrm>
          <a:off x="16240125" y="15230475"/>
          <a:ext cx="22412" cy="412937"/>
        </a:xfrm>
        <a:prstGeom prst="frame">
          <a:avLst/>
        </a:prstGeom>
        <a:ln w="6350">
          <a:solidFill>
            <a:schemeClr val="accent5">
              <a:shade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552790</xdr:colOff>
      <xdr:row>52</xdr:row>
      <xdr:rowOff>8504</xdr:rowOff>
    </xdr:from>
    <xdr:to>
      <xdr:col>8</xdr:col>
      <xdr:colOff>561294</xdr:colOff>
      <xdr:row>53</xdr:row>
      <xdr:rowOff>34018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BBAC147C-8473-44E7-B520-A9A9CD5583AA}"/>
            </a:ext>
          </a:extLst>
        </xdr:cNvPr>
        <xdr:cNvCxnSpPr/>
      </xdr:nvCxnSpPr>
      <xdr:spPr>
        <a:xfrm>
          <a:off x="8955201" y="16728281"/>
          <a:ext cx="8504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55"/>
  <sheetViews>
    <sheetView tabSelected="1" zoomScale="112" zoomScaleNormal="112" zoomScaleSheetLayoutView="80" workbookViewId="0">
      <selection activeCell="D12" sqref="D12"/>
    </sheetView>
  </sheetViews>
  <sheetFormatPr defaultRowHeight="15.75" x14ac:dyDescent="0.25"/>
  <cols>
    <col min="1" max="1" width="7.21875" style="12" customWidth="1"/>
    <col min="2" max="7" width="12.6640625" customWidth="1"/>
    <col min="8" max="8" width="14.5546875" customWidth="1"/>
    <col min="9" max="18" width="12.6640625" customWidth="1"/>
    <col min="19" max="19" width="17.5546875" customWidth="1"/>
    <col min="20" max="20" width="15.5546875" customWidth="1"/>
    <col min="21" max="21" width="9.109375" customWidth="1"/>
  </cols>
  <sheetData>
    <row r="2" spans="1:21" x14ac:dyDescent="0.25">
      <c r="B2" s="87" t="s">
        <v>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21" x14ac:dyDescent="0.25">
      <c r="B3" s="87" t="s">
        <v>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21" x14ac:dyDescent="0.25">
      <c r="C4" s="87" t="s">
        <v>52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21" x14ac:dyDescent="0.25"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21" x14ac:dyDescent="0.25"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</row>
    <row r="7" spans="1:21" x14ac:dyDescent="0.25">
      <c r="B7" t="s">
        <v>13</v>
      </c>
      <c r="D7" s="13" t="s">
        <v>59</v>
      </c>
      <c r="E7" s="7"/>
      <c r="F7" s="10"/>
      <c r="G7" s="10"/>
    </row>
    <row r="8" spans="1:21" x14ac:dyDescent="0.25">
      <c r="B8" t="s">
        <v>2</v>
      </c>
      <c r="D8" s="14" t="s">
        <v>60</v>
      </c>
      <c r="E8" s="9"/>
      <c r="F8" s="11"/>
      <c r="G8" s="11"/>
    </row>
    <row r="9" spans="1:21" x14ac:dyDescent="0.25">
      <c r="D9" s="14"/>
      <c r="E9" s="8"/>
      <c r="F9" s="11"/>
      <c r="G9" s="11"/>
      <c r="M9" s="4"/>
      <c r="N9" s="6"/>
      <c r="P9" s="6"/>
      <c r="Q9" s="6"/>
      <c r="R9" s="6"/>
    </row>
    <row r="10" spans="1:21" x14ac:dyDescent="0.25">
      <c r="D10" s="23"/>
      <c r="E10" s="24"/>
      <c r="F10" s="25"/>
      <c r="G10" s="25"/>
      <c r="P10" s="6"/>
      <c r="Q10" s="6"/>
      <c r="R10" s="6"/>
    </row>
    <row r="11" spans="1:21" x14ac:dyDescent="0.25">
      <c r="B11" t="s">
        <v>3</v>
      </c>
      <c r="C11" s="3"/>
      <c r="D11" s="26" t="s">
        <v>61</v>
      </c>
      <c r="E11" s="50"/>
      <c r="N11" s="5"/>
      <c r="O11" s="6"/>
    </row>
    <row r="12" spans="1:21" x14ac:dyDescent="0.25">
      <c r="B12" t="s">
        <v>54</v>
      </c>
      <c r="C12" s="3"/>
      <c r="D12" s="4"/>
      <c r="E12" s="4"/>
      <c r="N12" s="5"/>
      <c r="O12" s="6"/>
    </row>
    <row r="13" spans="1:21" x14ac:dyDescent="0.25">
      <c r="D13" s="4"/>
      <c r="E13" s="4"/>
      <c r="N13" s="5"/>
      <c r="O13" s="6"/>
    </row>
    <row r="14" spans="1:21" x14ac:dyDescent="0.25">
      <c r="D14" s="22" t="s">
        <v>33</v>
      </c>
      <c r="E14" t="s">
        <v>34</v>
      </c>
      <c r="F14" t="s">
        <v>35</v>
      </c>
      <c r="G14" t="s">
        <v>36</v>
      </c>
      <c r="H14" t="s">
        <v>37</v>
      </c>
      <c r="I14" t="s">
        <v>38</v>
      </c>
      <c r="J14" t="s">
        <v>39</v>
      </c>
      <c r="K14" t="s">
        <v>40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</row>
    <row r="15" spans="1:21" s="2" customFormat="1" ht="63" customHeight="1" x14ac:dyDescent="0.15">
      <c r="A15" s="51" t="s">
        <v>50</v>
      </c>
      <c r="B15" s="75" t="s">
        <v>14</v>
      </c>
      <c r="C15" s="52" t="s">
        <v>4</v>
      </c>
      <c r="D15" s="52" t="s">
        <v>6</v>
      </c>
      <c r="E15" s="52" t="s">
        <v>53</v>
      </c>
      <c r="F15" s="52" t="s">
        <v>7</v>
      </c>
      <c r="G15" s="52" t="s">
        <v>8</v>
      </c>
      <c r="H15" s="52" t="s">
        <v>51</v>
      </c>
      <c r="I15" s="90" t="s">
        <v>9</v>
      </c>
      <c r="J15" s="52" t="s">
        <v>17</v>
      </c>
      <c r="K15" s="52" t="s">
        <v>24</v>
      </c>
      <c r="L15" s="52" t="s">
        <v>10</v>
      </c>
      <c r="M15" s="52" t="s">
        <v>5</v>
      </c>
      <c r="N15" s="52" t="s">
        <v>11</v>
      </c>
      <c r="O15" s="52" t="s">
        <v>12</v>
      </c>
      <c r="P15" s="52" t="s">
        <v>18</v>
      </c>
      <c r="Q15" s="52" t="s">
        <v>19</v>
      </c>
      <c r="R15" s="53" t="s">
        <v>15</v>
      </c>
      <c r="S15" s="54" t="s">
        <v>48</v>
      </c>
      <c r="T15" s="54" t="s">
        <v>47</v>
      </c>
      <c r="U15" s="55" t="s">
        <v>49</v>
      </c>
    </row>
    <row r="16" spans="1:21" s="2" customFormat="1" ht="33.6" customHeight="1" thickBot="1" x14ac:dyDescent="0.3">
      <c r="A16" s="84">
        <v>1</v>
      </c>
      <c r="B16" s="76" t="s">
        <v>55</v>
      </c>
      <c r="C16" s="29">
        <v>42917</v>
      </c>
      <c r="D16" s="30">
        <v>1140000</v>
      </c>
      <c r="E16" s="30">
        <v>65980.02</v>
      </c>
      <c r="F16" s="30">
        <f>E16</f>
        <v>65980.02</v>
      </c>
      <c r="G16" s="31">
        <v>0</v>
      </c>
      <c r="H16" s="31">
        <v>0</v>
      </c>
      <c r="I16" s="30">
        <f>L16</f>
        <v>65980.02</v>
      </c>
      <c r="J16" s="32">
        <f>D16/12</f>
        <v>95000</v>
      </c>
      <c r="K16" s="32">
        <f>D16/12*1</f>
        <v>95000</v>
      </c>
      <c r="L16" s="32">
        <f>E16</f>
        <v>65980.02</v>
      </c>
      <c r="M16" s="32">
        <v>0</v>
      </c>
      <c r="N16" s="32">
        <v>0</v>
      </c>
      <c r="O16" s="32">
        <f>SUM(+L16-M16-N16)</f>
        <v>65980.02</v>
      </c>
      <c r="P16" s="32">
        <v>0</v>
      </c>
      <c r="Q16" s="32">
        <f>D16-I16</f>
        <v>1074019.98</v>
      </c>
      <c r="R16" s="57">
        <v>42968</v>
      </c>
      <c r="S16" s="27">
        <v>25410532</v>
      </c>
      <c r="T16" s="28">
        <v>65980.02</v>
      </c>
      <c r="U16" s="56">
        <v>42971</v>
      </c>
    </row>
    <row r="17" spans="1:21" s="2" customFormat="1" ht="15" customHeight="1" thickBot="1" x14ac:dyDescent="0.3">
      <c r="A17" s="85"/>
      <c r="B17" s="77" t="s">
        <v>20</v>
      </c>
      <c r="C17" s="33"/>
      <c r="D17" s="34">
        <f t="shared" ref="D17:Q17" si="0">D16</f>
        <v>1140000</v>
      </c>
      <c r="E17" s="34">
        <f t="shared" si="0"/>
        <v>65980.02</v>
      </c>
      <c r="F17" s="34">
        <f t="shared" si="0"/>
        <v>65980.02</v>
      </c>
      <c r="G17" s="34">
        <f t="shared" si="0"/>
        <v>0</v>
      </c>
      <c r="H17" s="34">
        <f t="shared" si="0"/>
        <v>0</v>
      </c>
      <c r="I17" s="34">
        <f t="shared" si="0"/>
        <v>65980.02</v>
      </c>
      <c r="J17" s="34">
        <f t="shared" si="0"/>
        <v>95000</v>
      </c>
      <c r="K17" s="34">
        <f t="shared" si="0"/>
        <v>95000</v>
      </c>
      <c r="L17" s="34">
        <f t="shared" si="0"/>
        <v>65980.02</v>
      </c>
      <c r="M17" s="34">
        <f t="shared" si="0"/>
        <v>0</v>
      </c>
      <c r="N17" s="34">
        <f t="shared" si="0"/>
        <v>0</v>
      </c>
      <c r="O17" s="34">
        <f t="shared" si="0"/>
        <v>65980.02</v>
      </c>
      <c r="P17" s="34">
        <f t="shared" si="0"/>
        <v>0</v>
      </c>
      <c r="Q17" s="34">
        <f t="shared" si="0"/>
        <v>1074019.98</v>
      </c>
      <c r="R17" s="58"/>
      <c r="S17" s="17"/>
      <c r="T17" s="17"/>
      <c r="U17" s="16"/>
    </row>
    <row r="18" spans="1:21" s="2" customFormat="1" ht="34.15" customHeight="1" thickBot="1" x14ac:dyDescent="0.3">
      <c r="A18" s="84">
        <v>2</v>
      </c>
      <c r="B18" s="78" t="s">
        <v>55</v>
      </c>
      <c r="C18" s="36">
        <v>42948</v>
      </c>
      <c r="D18" s="37">
        <f>D16</f>
        <v>1140000</v>
      </c>
      <c r="E18" s="37"/>
      <c r="F18" s="37">
        <f>F16+E18</f>
        <v>65980.02</v>
      </c>
      <c r="G18" s="38">
        <v>0</v>
      </c>
      <c r="H18" s="38">
        <v>0</v>
      </c>
      <c r="I18" s="37">
        <f>L16+L18</f>
        <v>65980.02</v>
      </c>
      <c r="J18" s="39">
        <f>D18/12</f>
        <v>95000</v>
      </c>
      <c r="K18" s="39">
        <f>D18/12*2</f>
        <v>190000</v>
      </c>
      <c r="L18" s="39">
        <f>E18</f>
        <v>0</v>
      </c>
      <c r="M18" s="39">
        <v>0</v>
      </c>
      <c r="N18" s="39">
        <v>0</v>
      </c>
      <c r="O18" s="39">
        <f>SUM(L18+M18+N18)</f>
        <v>0</v>
      </c>
      <c r="P18" s="39">
        <v>0</v>
      </c>
      <c r="Q18" s="39">
        <f>D18-I18</f>
        <v>1074019.98</v>
      </c>
      <c r="R18" s="59"/>
      <c r="S18" s="60"/>
      <c r="T18" s="28"/>
      <c r="U18" s="56"/>
    </row>
    <row r="19" spans="1:21" s="2" customFormat="1" ht="19.5" customHeight="1" thickBot="1" x14ac:dyDescent="0.3">
      <c r="A19" s="84"/>
      <c r="B19" s="79" t="s">
        <v>21</v>
      </c>
      <c r="C19" s="41"/>
      <c r="D19" s="42">
        <f t="shared" ref="D19:Q19" si="1">D18</f>
        <v>1140000</v>
      </c>
      <c r="E19" s="42">
        <f t="shared" si="1"/>
        <v>0</v>
      </c>
      <c r="F19" s="42">
        <f t="shared" si="1"/>
        <v>65980.02</v>
      </c>
      <c r="G19" s="42">
        <f t="shared" si="1"/>
        <v>0</v>
      </c>
      <c r="H19" s="42">
        <f t="shared" si="1"/>
        <v>0</v>
      </c>
      <c r="I19" s="42">
        <f t="shared" si="1"/>
        <v>65980.02</v>
      </c>
      <c r="J19" s="42">
        <f t="shared" si="1"/>
        <v>95000</v>
      </c>
      <c r="K19" s="42">
        <f t="shared" si="1"/>
        <v>190000</v>
      </c>
      <c r="L19" s="42">
        <f t="shared" si="1"/>
        <v>0</v>
      </c>
      <c r="M19" s="42">
        <f t="shared" si="1"/>
        <v>0</v>
      </c>
      <c r="N19" s="42">
        <f t="shared" si="1"/>
        <v>0</v>
      </c>
      <c r="O19" s="42">
        <f t="shared" si="1"/>
        <v>0</v>
      </c>
      <c r="P19" s="42">
        <f t="shared" si="1"/>
        <v>0</v>
      </c>
      <c r="Q19" s="42">
        <f t="shared" si="1"/>
        <v>1074019.98</v>
      </c>
      <c r="R19" s="43"/>
      <c r="S19" s="17"/>
      <c r="T19" s="17"/>
      <c r="U19" s="16"/>
    </row>
    <row r="20" spans="1:21" s="2" customFormat="1" ht="31.9" customHeight="1" thickBot="1" x14ac:dyDescent="0.3">
      <c r="A20" s="84">
        <v>3</v>
      </c>
      <c r="B20" s="76" t="s">
        <v>55</v>
      </c>
      <c r="C20" s="44">
        <v>42979</v>
      </c>
      <c r="D20" s="45">
        <f>D18</f>
        <v>1140000</v>
      </c>
      <c r="E20" s="45"/>
      <c r="F20" s="30">
        <f>F18+E20</f>
        <v>65980.02</v>
      </c>
      <c r="G20" s="46">
        <v>0</v>
      </c>
      <c r="H20" s="46">
        <v>0</v>
      </c>
      <c r="I20" s="30">
        <f>L16+L18+L20</f>
        <v>65980.02</v>
      </c>
      <c r="J20" s="47">
        <f>D20/12</f>
        <v>95000</v>
      </c>
      <c r="K20" s="47">
        <f>D20/12*3</f>
        <v>285000</v>
      </c>
      <c r="L20" s="47">
        <f>E20</f>
        <v>0</v>
      </c>
      <c r="M20" s="47">
        <v>0</v>
      </c>
      <c r="N20" s="47">
        <v>0</v>
      </c>
      <c r="O20" s="47">
        <f>L20-M20</f>
        <v>0</v>
      </c>
      <c r="P20" s="47">
        <v>0</v>
      </c>
      <c r="Q20" s="47">
        <f>D20-I20</f>
        <v>1074019.98</v>
      </c>
      <c r="R20" s="65"/>
      <c r="S20" s="60"/>
      <c r="T20" s="28"/>
      <c r="U20" s="56"/>
    </row>
    <row r="21" spans="1:21" s="2" customFormat="1" ht="22.5" customHeight="1" thickBot="1" x14ac:dyDescent="0.3">
      <c r="A21" s="84"/>
      <c r="B21" s="77" t="s">
        <v>22</v>
      </c>
      <c r="C21" s="33"/>
      <c r="D21" s="34">
        <f t="shared" ref="D21:Q21" si="2">D20</f>
        <v>1140000</v>
      </c>
      <c r="E21" s="34">
        <f t="shared" si="2"/>
        <v>0</v>
      </c>
      <c r="F21" s="34">
        <f t="shared" si="2"/>
        <v>65980.02</v>
      </c>
      <c r="G21" s="34">
        <f t="shared" si="2"/>
        <v>0</v>
      </c>
      <c r="H21" s="34">
        <f t="shared" si="2"/>
        <v>0</v>
      </c>
      <c r="I21" s="34">
        <f t="shared" si="2"/>
        <v>65980.02</v>
      </c>
      <c r="J21" s="34">
        <f t="shared" si="2"/>
        <v>95000</v>
      </c>
      <c r="K21" s="34">
        <f t="shared" si="2"/>
        <v>285000</v>
      </c>
      <c r="L21" s="34">
        <f t="shared" si="2"/>
        <v>0</v>
      </c>
      <c r="M21" s="34">
        <f t="shared" si="2"/>
        <v>0</v>
      </c>
      <c r="N21" s="34">
        <f t="shared" si="2"/>
        <v>0</v>
      </c>
      <c r="O21" s="34">
        <f t="shared" si="2"/>
        <v>0</v>
      </c>
      <c r="P21" s="34">
        <f t="shared" si="2"/>
        <v>0</v>
      </c>
      <c r="Q21" s="34">
        <f t="shared" si="2"/>
        <v>1074019.98</v>
      </c>
      <c r="R21" s="35"/>
      <c r="S21" s="60"/>
      <c r="T21" s="60"/>
      <c r="U21" s="56"/>
    </row>
    <row r="22" spans="1:21" s="2" customFormat="1" ht="28.9" customHeight="1" thickBot="1" x14ac:dyDescent="0.3">
      <c r="A22" s="84">
        <v>4</v>
      </c>
      <c r="B22" s="78" t="s">
        <v>55</v>
      </c>
      <c r="C22" s="36">
        <v>43009</v>
      </c>
      <c r="D22" s="37">
        <f>D20</f>
        <v>1140000</v>
      </c>
      <c r="E22" s="38">
        <v>184761.62</v>
      </c>
      <c r="F22" s="37">
        <f>F20+E22</f>
        <v>250741.64</v>
      </c>
      <c r="G22" s="38">
        <v>0</v>
      </c>
      <c r="H22" s="38">
        <v>0</v>
      </c>
      <c r="I22" s="37">
        <f>L16+L18+L20+L22</f>
        <v>250741.64</v>
      </c>
      <c r="J22" s="39">
        <f>D22/12</f>
        <v>95000</v>
      </c>
      <c r="K22" s="39">
        <f>D22/12*4</f>
        <v>380000</v>
      </c>
      <c r="L22" s="39">
        <f>E22</f>
        <v>184761.62</v>
      </c>
      <c r="M22" s="39">
        <v>22780</v>
      </c>
      <c r="N22" s="39">
        <v>0</v>
      </c>
      <c r="O22" s="32">
        <f>SUM(+L22-M22-N22)</f>
        <v>161981.62</v>
      </c>
      <c r="P22" s="39">
        <v>0</v>
      </c>
      <c r="Q22" s="39">
        <f>D22-I22</f>
        <v>889258.36</v>
      </c>
      <c r="R22" s="59">
        <v>43118</v>
      </c>
      <c r="S22" s="60">
        <v>25989584</v>
      </c>
      <c r="T22" s="28">
        <v>161981.62</v>
      </c>
      <c r="U22" s="56">
        <v>43123</v>
      </c>
    </row>
    <row r="23" spans="1:21" s="2" customFormat="1" ht="25.15" customHeight="1" thickBot="1" x14ac:dyDescent="0.3">
      <c r="A23" s="84"/>
      <c r="B23" s="80" t="s">
        <v>23</v>
      </c>
      <c r="C23" s="69" t="s">
        <v>57</v>
      </c>
      <c r="D23" s="42">
        <f t="shared" ref="D23:Q23" si="3">D22</f>
        <v>1140000</v>
      </c>
      <c r="E23" s="42">
        <f t="shared" si="3"/>
        <v>184761.62</v>
      </c>
      <c r="F23" s="42">
        <f t="shared" si="3"/>
        <v>250741.64</v>
      </c>
      <c r="G23" s="42">
        <f t="shared" si="3"/>
        <v>0</v>
      </c>
      <c r="H23" s="42">
        <f t="shared" si="3"/>
        <v>0</v>
      </c>
      <c r="I23" s="42">
        <f t="shared" si="3"/>
        <v>250741.64</v>
      </c>
      <c r="J23" s="42">
        <f t="shared" si="3"/>
        <v>95000</v>
      </c>
      <c r="K23" s="42">
        <f t="shared" si="3"/>
        <v>380000</v>
      </c>
      <c r="L23" s="42">
        <f t="shared" si="3"/>
        <v>184761.62</v>
      </c>
      <c r="M23" s="42">
        <f t="shared" si="3"/>
        <v>22780</v>
      </c>
      <c r="N23" s="42">
        <f t="shared" si="3"/>
        <v>0</v>
      </c>
      <c r="O23" s="42">
        <f t="shared" si="3"/>
        <v>161981.62</v>
      </c>
      <c r="P23" s="42">
        <f t="shared" si="3"/>
        <v>0</v>
      </c>
      <c r="Q23" s="42">
        <f t="shared" si="3"/>
        <v>889258.36</v>
      </c>
      <c r="R23" s="64"/>
      <c r="S23" s="60"/>
      <c r="T23" s="60"/>
      <c r="U23" s="56"/>
    </row>
    <row r="24" spans="1:21" s="2" customFormat="1" ht="30.6" customHeight="1" thickBot="1" x14ac:dyDescent="0.3">
      <c r="A24" s="84">
        <v>5</v>
      </c>
      <c r="B24" s="76" t="s">
        <v>55</v>
      </c>
      <c r="C24" s="68">
        <v>43040</v>
      </c>
      <c r="D24" s="45">
        <f>D22</f>
        <v>1140000</v>
      </c>
      <c r="E24" s="45">
        <v>80769.86</v>
      </c>
      <c r="F24" s="30">
        <f>F22+E24</f>
        <v>331511.5</v>
      </c>
      <c r="G24" s="46">
        <v>0</v>
      </c>
      <c r="H24" s="46">
        <v>0</v>
      </c>
      <c r="I24" s="30">
        <f>L16+L18+L20+L22+L24</f>
        <v>331511.5</v>
      </c>
      <c r="J24" s="47">
        <f>D24/12</f>
        <v>95000</v>
      </c>
      <c r="K24" s="47">
        <f>D24/12*5</f>
        <v>475000</v>
      </c>
      <c r="L24" s="47">
        <f>E24</f>
        <v>80769.86</v>
      </c>
      <c r="M24" s="47">
        <v>0</v>
      </c>
      <c r="N24" s="47">
        <v>0</v>
      </c>
      <c r="O24" s="32">
        <f>SUM(+L24-M24-N24)</f>
        <v>80769.86</v>
      </c>
      <c r="P24" s="63">
        <v>0</v>
      </c>
      <c r="Q24" s="47">
        <f>D24-I24</f>
        <v>808488.5</v>
      </c>
      <c r="R24" s="65">
        <v>43118</v>
      </c>
      <c r="S24" s="60">
        <v>2598585</v>
      </c>
      <c r="T24" s="28">
        <v>80769.86</v>
      </c>
      <c r="U24" s="56">
        <v>43123</v>
      </c>
    </row>
    <row r="25" spans="1:21" s="15" customFormat="1" ht="23.25" customHeight="1" thickBot="1" x14ac:dyDescent="0.3">
      <c r="A25" s="84"/>
      <c r="B25" s="77" t="s">
        <v>25</v>
      </c>
      <c r="C25" s="33"/>
      <c r="D25" s="34">
        <f t="shared" ref="D25:Q25" si="4">D24</f>
        <v>1140000</v>
      </c>
      <c r="E25" s="34">
        <f t="shared" si="4"/>
        <v>80769.86</v>
      </c>
      <c r="F25" s="34">
        <f t="shared" si="4"/>
        <v>331511.5</v>
      </c>
      <c r="G25" s="34">
        <f t="shared" si="4"/>
        <v>0</v>
      </c>
      <c r="H25" s="34">
        <f t="shared" si="4"/>
        <v>0</v>
      </c>
      <c r="I25" s="34">
        <f t="shared" si="4"/>
        <v>331511.5</v>
      </c>
      <c r="J25" s="34">
        <f t="shared" si="4"/>
        <v>95000</v>
      </c>
      <c r="K25" s="34">
        <f t="shared" si="4"/>
        <v>475000</v>
      </c>
      <c r="L25" s="34">
        <f t="shared" si="4"/>
        <v>80769.86</v>
      </c>
      <c r="M25" s="34">
        <f t="shared" si="4"/>
        <v>0</v>
      </c>
      <c r="N25" s="34">
        <f t="shared" si="4"/>
        <v>0</v>
      </c>
      <c r="O25" s="34">
        <f t="shared" si="4"/>
        <v>80769.86</v>
      </c>
      <c r="P25" s="34">
        <f t="shared" si="4"/>
        <v>0</v>
      </c>
      <c r="Q25" s="34">
        <f t="shared" si="4"/>
        <v>808488.5</v>
      </c>
      <c r="R25" s="35"/>
      <c r="S25" s="61"/>
      <c r="T25" s="61"/>
      <c r="U25" s="62"/>
    </row>
    <row r="26" spans="1:21" s="2" customFormat="1" ht="40.15" customHeight="1" thickBot="1" x14ac:dyDescent="0.3">
      <c r="A26" s="84">
        <v>6</v>
      </c>
      <c r="B26" s="78" t="s">
        <v>56</v>
      </c>
      <c r="C26" s="36">
        <v>43070</v>
      </c>
      <c r="D26" s="37">
        <f>D24</f>
        <v>1140000</v>
      </c>
      <c r="E26" s="37">
        <v>473.62</v>
      </c>
      <c r="F26" s="37">
        <f>F24+E26</f>
        <v>331985.12</v>
      </c>
      <c r="G26" s="38">
        <v>0</v>
      </c>
      <c r="H26" s="38">
        <v>0</v>
      </c>
      <c r="I26" s="37">
        <f>L16+L18+L20+L22+L24+L26</f>
        <v>331985.12</v>
      </c>
      <c r="J26" s="39">
        <f>D26/12</f>
        <v>95000</v>
      </c>
      <c r="K26" s="39">
        <f>D26/12*6</f>
        <v>570000</v>
      </c>
      <c r="L26" s="39">
        <f>E26</f>
        <v>473.62</v>
      </c>
      <c r="M26" s="39">
        <v>0</v>
      </c>
      <c r="N26" s="39">
        <v>0</v>
      </c>
      <c r="O26" s="32">
        <f>SUM(+L26-M26-N26)</f>
        <v>473.62</v>
      </c>
      <c r="P26" s="39">
        <v>0</v>
      </c>
      <c r="Q26" s="39">
        <f>D26-I26</f>
        <v>808014.88</v>
      </c>
      <c r="R26" s="40">
        <v>43117</v>
      </c>
      <c r="S26" s="60">
        <v>25975457</v>
      </c>
      <c r="T26" s="28">
        <v>473.62</v>
      </c>
      <c r="U26" s="56">
        <v>43119</v>
      </c>
    </row>
    <row r="27" spans="1:21" s="15" customFormat="1" ht="27" customHeight="1" thickBot="1" x14ac:dyDescent="0.3">
      <c r="A27" s="84"/>
      <c r="B27" s="79" t="s">
        <v>26</v>
      </c>
      <c r="C27" s="41"/>
      <c r="D27" s="42">
        <f t="shared" ref="D27:Q27" si="5">D26</f>
        <v>1140000</v>
      </c>
      <c r="E27" s="42">
        <f t="shared" si="5"/>
        <v>473.62</v>
      </c>
      <c r="F27" s="42">
        <f t="shared" si="5"/>
        <v>331985.12</v>
      </c>
      <c r="G27" s="42">
        <f t="shared" si="5"/>
        <v>0</v>
      </c>
      <c r="H27" s="42">
        <f t="shared" si="5"/>
        <v>0</v>
      </c>
      <c r="I27" s="42">
        <f t="shared" si="5"/>
        <v>331985.12</v>
      </c>
      <c r="J27" s="42">
        <f t="shared" si="5"/>
        <v>95000</v>
      </c>
      <c r="K27" s="42">
        <f t="shared" si="5"/>
        <v>570000</v>
      </c>
      <c r="L27" s="42">
        <f t="shared" si="5"/>
        <v>473.62</v>
      </c>
      <c r="M27" s="42">
        <f t="shared" si="5"/>
        <v>0</v>
      </c>
      <c r="N27" s="42">
        <f t="shared" si="5"/>
        <v>0</v>
      </c>
      <c r="O27" s="42">
        <f t="shared" si="5"/>
        <v>473.62</v>
      </c>
      <c r="P27" s="42">
        <f t="shared" si="5"/>
        <v>0</v>
      </c>
      <c r="Q27" s="42">
        <f t="shared" si="5"/>
        <v>808014.88</v>
      </c>
      <c r="R27" s="43"/>
      <c r="S27" s="61"/>
      <c r="T27" s="61"/>
      <c r="U27" s="62"/>
    </row>
    <row r="28" spans="1:21" s="15" customFormat="1" ht="36" customHeight="1" thickBot="1" x14ac:dyDescent="0.3">
      <c r="A28" s="84">
        <v>7</v>
      </c>
      <c r="B28" s="78" t="s">
        <v>56</v>
      </c>
      <c r="C28" s="36">
        <v>43070</v>
      </c>
      <c r="D28" s="37">
        <f>D26</f>
        <v>1140000</v>
      </c>
      <c r="E28" s="37">
        <v>68256.37</v>
      </c>
      <c r="F28" s="37">
        <f>F26+E28</f>
        <v>400241.49</v>
      </c>
      <c r="G28" s="38">
        <v>0</v>
      </c>
      <c r="H28" s="38">
        <v>0</v>
      </c>
      <c r="I28" s="37">
        <f>L16+L18+L20+L22+L24+L26+L28</f>
        <v>400241.49</v>
      </c>
      <c r="J28" s="39">
        <f>D28/12</f>
        <v>95000</v>
      </c>
      <c r="K28" s="39">
        <f>D28/12*6</f>
        <v>570000</v>
      </c>
      <c r="L28" s="39">
        <f>E28</f>
        <v>68256.37</v>
      </c>
      <c r="M28" s="39">
        <v>0</v>
      </c>
      <c r="N28" s="39">
        <v>0</v>
      </c>
      <c r="O28" s="32">
        <f>SUM(+L28-M28-N28)</f>
        <v>68256.37</v>
      </c>
      <c r="P28" s="39">
        <v>0</v>
      </c>
      <c r="Q28" s="39">
        <f>D28-I28</f>
        <v>739758.51</v>
      </c>
      <c r="R28" s="40">
        <v>43126</v>
      </c>
      <c r="S28" s="60">
        <v>26026723</v>
      </c>
      <c r="T28" s="28">
        <v>68256.37</v>
      </c>
      <c r="U28" s="56">
        <v>43132</v>
      </c>
    </row>
    <row r="29" spans="1:21" s="15" customFormat="1" ht="27" customHeight="1" thickBot="1" x14ac:dyDescent="0.3">
      <c r="A29" s="84"/>
      <c r="B29" s="79" t="s">
        <v>26</v>
      </c>
      <c r="C29" s="41"/>
      <c r="D29" s="42">
        <f t="shared" ref="D29:Q29" si="6">D28</f>
        <v>1140000</v>
      </c>
      <c r="E29" s="42">
        <f t="shared" si="6"/>
        <v>68256.37</v>
      </c>
      <c r="F29" s="42">
        <f t="shared" si="6"/>
        <v>400241.49</v>
      </c>
      <c r="G29" s="42">
        <f t="shared" si="6"/>
        <v>0</v>
      </c>
      <c r="H29" s="42">
        <f t="shared" si="6"/>
        <v>0</v>
      </c>
      <c r="I29" s="42">
        <f t="shared" si="6"/>
        <v>400241.49</v>
      </c>
      <c r="J29" s="42">
        <f t="shared" si="6"/>
        <v>95000</v>
      </c>
      <c r="K29" s="42">
        <f t="shared" si="6"/>
        <v>570000</v>
      </c>
      <c r="L29" s="42">
        <f t="shared" si="6"/>
        <v>68256.37</v>
      </c>
      <c r="M29" s="42">
        <f t="shared" si="6"/>
        <v>0</v>
      </c>
      <c r="N29" s="42">
        <f t="shared" si="6"/>
        <v>0</v>
      </c>
      <c r="O29" s="42">
        <f t="shared" si="6"/>
        <v>68256.37</v>
      </c>
      <c r="P29" s="42">
        <f t="shared" si="6"/>
        <v>0</v>
      </c>
      <c r="Q29" s="42">
        <f t="shared" si="6"/>
        <v>739758.51</v>
      </c>
      <c r="R29" s="43"/>
      <c r="S29" s="61"/>
      <c r="T29" s="61"/>
      <c r="U29" s="62"/>
    </row>
    <row r="30" spans="1:21" s="2" customFormat="1" ht="31.15" customHeight="1" thickBot="1" x14ac:dyDescent="0.3">
      <c r="A30" s="84">
        <v>8</v>
      </c>
      <c r="B30" s="81" t="s">
        <v>55</v>
      </c>
      <c r="C30" s="44">
        <v>43101</v>
      </c>
      <c r="D30" s="45">
        <f>D26</f>
        <v>1140000</v>
      </c>
      <c r="E30" s="45">
        <v>82347.929999999993</v>
      </c>
      <c r="F30" s="46">
        <f>F28+E30</f>
        <v>482589.42</v>
      </c>
      <c r="G30" s="46">
        <v>0</v>
      </c>
      <c r="H30" s="46">
        <v>0</v>
      </c>
      <c r="I30" s="30">
        <f>L16+L18+L20+L22+L24+L26+L28+L30</f>
        <v>482589.42</v>
      </c>
      <c r="J30" s="47">
        <f>D30/12</f>
        <v>95000</v>
      </c>
      <c r="K30" s="47">
        <f>D30/12*7</f>
        <v>665000</v>
      </c>
      <c r="L30" s="47">
        <f>E30</f>
        <v>82347.929999999993</v>
      </c>
      <c r="M30" s="47">
        <v>0</v>
      </c>
      <c r="N30" s="47">
        <v>0</v>
      </c>
      <c r="O30" s="32">
        <f>SUM(+L30-M30-N30)</f>
        <v>82347.929999999993</v>
      </c>
      <c r="P30" s="47">
        <v>0</v>
      </c>
      <c r="Q30" s="47">
        <f>D30-I30</f>
        <v>657410.58000000007</v>
      </c>
      <c r="R30" s="48">
        <v>43147</v>
      </c>
      <c r="S30" s="60">
        <v>26114593</v>
      </c>
      <c r="T30" s="28">
        <v>82347.929999999993</v>
      </c>
      <c r="U30" s="56">
        <v>43152</v>
      </c>
    </row>
    <row r="31" spans="1:21" s="15" customFormat="1" ht="24" customHeight="1" thickBot="1" x14ac:dyDescent="0.3">
      <c r="A31" s="84"/>
      <c r="B31" s="77" t="s">
        <v>27</v>
      </c>
      <c r="C31" s="33"/>
      <c r="D31" s="34">
        <f t="shared" ref="D31:Q31" si="7">D30</f>
        <v>1140000</v>
      </c>
      <c r="E31" s="34">
        <f t="shared" si="7"/>
        <v>82347.929999999993</v>
      </c>
      <c r="F31" s="34">
        <f t="shared" si="7"/>
        <v>482589.42</v>
      </c>
      <c r="G31" s="34">
        <f t="shared" si="7"/>
        <v>0</v>
      </c>
      <c r="H31" s="34">
        <f t="shared" si="7"/>
        <v>0</v>
      </c>
      <c r="I31" s="34">
        <f t="shared" si="7"/>
        <v>482589.42</v>
      </c>
      <c r="J31" s="34">
        <f t="shared" si="7"/>
        <v>95000</v>
      </c>
      <c r="K31" s="34">
        <f t="shared" si="7"/>
        <v>665000</v>
      </c>
      <c r="L31" s="34">
        <f t="shared" si="7"/>
        <v>82347.929999999993</v>
      </c>
      <c r="M31" s="34">
        <f t="shared" si="7"/>
        <v>0</v>
      </c>
      <c r="N31" s="34">
        <f t="shared" si="7"/>
        <v>0</v>
      </c>
      <c r="O31" s="34">
        <f t="shared" si="7"/>
        <v>82347.929999999993</v>
      </c>
      <c r="P31" s="34">
        <f t="shared" si="7"/>
        <v>0</v>
      </c>
      <c r="Q31" s="34">
        <f t="shared" si="7"/>
        <v>657410.58000000007</v>
      </c>
      <c r="R31" s="35"/>
      <c r="S31" s="61"/>
      <c r="T31" s="61"/>
      <c r="U31" s="62"/>
    </row>
    <row r="32" spans="1:21" s="2" customFormat="1" ht="40.15" customHeight="1" thickBot="1" x14ac:dyDescent="0.3">
      <c r="A32" s="84">
        <v>9</v>
      </c>
      <c r="B32" s="82" t="s">
        <v>55</v>
      </c>
      <c r="C32" s="36">
        <v>43132</v>
      </c>
      <c r="D32" s="37">
        <f>D30</f>
        <v>1140000</v>
      </c>
      <c r="E32" s="37">
        <v>38494.28</v>
      </c>
      <c r="F32" s="38">
        <f>F30+E32</f>
        <v>521083.69999999995</v>
      </c>
      <c r="G32" s="38">
        <v>0</v>
      </c>
      <c r="H32" s="38">
        <v>0</v>
      </c>
      <c r="I32" s="37">
        <f>L16+L18+L20+L22+L24+L26+L28+L30+L32</f>
        <v>521083.69999999995</v>
      </c>
      <c r="J32" s="39">
        <f>D32/12</f>
        <v>95000</v>
      </c>
      <c r="K32" s="39">
        <f>D38/12*8</f>
        <v>760000</v>
      </c>
      <c r="L32" s="39">
        <f>E32</f>
        <v>38494.28</v>
      </c>
      <c r="M32" s="39">
        <v>0</v>
      </c>
      <c r="N32" s="39">
        <v>0</v>
      </c>
      <c r="O32" s="32">
        <f>SUM(+L32-M32-N32)</f>
        <v>38494.28</v>
      </c>
      <c r="P32" s="39">
        <v>0</v>
      </c>
      <c r="Q32" s="39">
        <f>D32-I32</f>
        <v>618916.30000000005</v>
      </c>
      <c r="R32" s="40">
        <v>43167</v>
      </c>
      <c r="S32" s="60">
        <v>26201494</v>
      </c>
      <c r="T32" s="71">
        <v>38494.28</v>
      </c>
      <c r="U32" s="56">
        <v>43171</v>
      </c>
    </row>
    <row r="33" spans="1:21" s="15" customFormat="1" ht="27" customHeight="1" thickBot="1" x14ac:dyDescent="0.3">
      <c r="A33" s="84"/>
      <c r="B33" s="79" t="s">
        <v>28</v>
      </c>
      <c r="C33" s="41"/>
      <c r="D33" s="42">
        <f t="shared" ref="D33:Q33" si="8">D32</f>
        <v>1140000</v>
      </c>
      <c r="E33" s="42">
        <f t="shared" si="8"/>
        <v>38494.28</v>
      </c>
      <c r="F33" s="42">
        <f t="shared" si="8"/>
        <v>521083.69999999995</v>
      </c>
      <c r="G33" s="42">
        <f t="shared" si="8"/>
        <v>0</v>
      </c>
      <c r="H33" s="42">
        <f t="shared" si="8"/>
        <v>0</v>
      </c>
      <c r="I33" s="42">
        <f t="shared" si="8"/>
        <v>521083.69999999995</v>
      </c>
      <c r="J33" s="42">
        <f t="shared" si="8"/>
        <v>95000</v>
      </c>
      <c r="K33" s="42">
        <f t="shared" si="8"/>
        <v>760000</v>
      </c>
      <c r="L33" s="42">
        <f t="shared" si="8"/>
        <v>38494.28</v>
      </c>
      <c r="M33" s="42">
        <f t="shared" si="8"/>
        <v>0</v>
      </c>
      <c r="N33" s="42">
        <f t="shared" si="8"/>
        <v>0</v>
      </c>
      <c r="O33" s="42">
        <f t="shared" si="8"/>
        <v>38494.28</v>
      </c>
      <c r="P33" s="42">
        <f t="shared" si="8"/>
        <v>0</v>
      </c>
      <c r="Q33" s="42">
        <f t="shared" si="8"/>
        <v>618916.30000000005</v>
      </c>
      <c r="R33" s="49"/>
      <c r="S33" s="61"/>
      <c r="T33" s="61"/>
      <c r="U33" s="62"/>
    </row>
    <row r="34" spans="1:21" s="15" customFormat="1" ht="28.9" customHeight="1" thickBot="1" x14ac:dyDescent="0.3">
      <c r="A34" s="84">
        <v>10</v>
      </c>
      <c r="B34" s="82" t="s">
        <v>55</v>
      </c>
      <c r="C34" s="36">
        <v>43132</v>
      </c>
      <c r="D34" s="37">
        <f>D32</f>
        <v>1140000</v>
      </c>
      <c r="E34" s="37">
        <v>78660.41</v>
      </c>
      <c r="F34" s="38">
        <f>F32+E34</f>
        <v>599744.11</v>
      </c>
      <c r="G34" s="38">
        <v>0</v>
      </c>
      <c r="H34" s="38">
        <v>0</v>
      </c>
      <c r="I34" s="37">
        <f>L16+L18+L20+L22+L24+L26+L28+L30+L32+L34</f>
        <v>599744.11</v>
      </c>
      <c r="J34" s="39">
        <f>D34/12</f>
        <v>95000</v>
      </c>
      <c r="K34" s="39">
        <f>D40/12*8</f>
        <v>760000</v>
      </c>
      <c r="L34" s="39">
        <f>E34</f>
        <v>78660.41</v>
      </c>
      <c r="M34" s="39">
        <v>0</v>
      </c>
      <c r="N34" s="39">
        <v>0</v>
      </c>
      <c r="O34" s="32">
        <f>SUM(+L34-M34-N34)</f>
        <v>78660.41</v>
      </c>
      <c r="P34" s="39">
        <v>0</v>
      </c>
      <c r="Q34" s="39">
        <f>D34-I34</f>
        <v>540255.89</v>
      </c>
      <c r="R34" s="40">
        <v>43172</v>
      </c>
      <c r="S34" s="60">
        <v>26216120</v>
      </c>
      <c r="T34" s="71">
        <v>78660.41</v>
      </c>
      <c r="U34" s="56">
        <v>43174</v>
      </c>
    </row>
    <row r="35" spans="1:21" s="15" customFormat="1" ht="27" customHeight="1" thickBot="1" x14ac:dyDescent="0.3">
      <c r="A35" s="84"/>
      <c r="B35" s="79" t="s">
        <v>28</v>
      </c>
      <c r="C35" s="41"/>
      <c r="D35" s="42">
        <f t="shared" ref="D35:Q35" si="9">D34</f>
        <v>1140000</v>
      </c>
      <c r="E35" s="42">
        <f t="shared" si="9"/>
        <v>78660.41</v>
      </c>
      <c r="F35" s="42">
        <f t="shared" si="9"/>
        <v>599744.11</v>
      </c>
      <c r="G35" s="42">
        <f t="shared" si="9"/>
        <v>0</v>
      </c>
      <c r="H35" s="42">
        <f t="shared" si="9"/>
        <v>0</v>
      </c>
      <c r="I35" s="42">
        <f t="shared" si="9"/>
        <v>599744.11</v>
      </c>
      <c r="J35" s="42">
        <f t="shared" si="9"/>
        <v>95000</v>
      </c>
      <c r="K35" s="42">
        <f t="shared" si="9"/>
        <v>760000</v>
      </c>
      <c r="L35" s="42">
        <f t="shared" si="9"/>
        <v>78660.41</v>
      </c>
      <c r="M35" s="42">
        <f t="shared" si="9"/>
        <v>0</v>
      </c>
      <c r="N35" s="42">
        <f t="shared" si="9"/>
        <v>0</v>
      </c>
      <c r="O35" s="42">
        <f t="shared" si="9"/>
        <v>78660.41</v>
      </c>
      <c r="P35" s="42">
        <f t="shared" si="9"/>
        <v>0</v>
      </c>
      <c r="Q35" s="42">
        <f t="shared" si="9"/>
        <v>540255.89</v>
      </c>
      <c r="R35" s="70"/>
      <c r="S35" s="61"/>
      <c r="T35" s="61"/>
      <c r="U35" s="62"/>
    </row>
    <row r="36" spans="1:21" s="15" customFormat="1" ht="30.6" customHeight="1" thickBot="1" x14ac:dyDescent="0.3">
      <c r="A36" s="84">
        <v>11</v>
      </c>
      <c r="B36" s="82" t="s">
        <v>55</v>
      </c>
      <c r="C36" s="36">
        <v>43132</v>
      </c>
      <c r="D36" s="37">
        <f>D34</f>
        <v>1140000</v>
      </c>
      <c r="E36" s="37">
        <v>22605.38</v>
      </c>
      <c r="F36" s="38">
        <f>F34+E36</f>
        <v>622349.49</v>
      </c>
      <c r="G36" s="38">
        <v>0</v>
      </c>
      <c r="H36" s="38">
        <v>0</v>
      </c>
      <c r="I36" s="37">
        <f>L16+L18+L20+L22+L24+L26+L28+L30+L32+L34+L36</f>
        <v>622349.49</v>
      </c>
      <c r="J36" s="39">
        <f>D36/12</f>
        <v>95000</v>
      </c>
      <c r="K36" s="39">
        <f>D44/12*8</f>
        <v>760000</v>
      </c>
      <c r="L36" s="39">
        <f>E36</f>
        <v>22605.38</v>
      </c>
      <c r="M36" s="39">
        <v>0</v>
      </c>
      <c r="N36" s="39">
        <v>0</v>
      </c>
      <c r="O36" s="32">
        <f>SUM(+L36-M36-N36)</f>
        <v>22605.38</v>
      </c>
      <c r="P36" s="39">
        <v>0</v>
      </c>
      <c r="Q36" s="39">
        <f>D36-I36</f>
        <v>517650.51</v>
      </c>
      <c r="R36" s="40">
        <v>43188</v>
      </c>
      <c r="S36" s="60">
        <v>26290929</v>
      </c>
      <c r="T36" s="71">
        <v>22605.38</v>
      </c>
      <c r="U36" s="56">
        <v>43192</v>
      </c>
    </row>
    <row r="37" spans="1:21" s="15" customFormat="1" ht="27" customHeight="1" thickBot="1" x14ac:dyDescent="0.3">
      <c r="A37" s="84"/>
      <c r="B37" s="79" t="s">
        <v>28</v>
      </c>
      <c r="C37" s="41"/>
      <c r="D37" s="42">
        <f t="shared" ref="D37:Q37" si="10">D36</f>
        <v>1140000</v>
      </c>
      <c r="E37" s="42">
        <f t="shared" si="10"/>
        <v>22605.38</v>
      </c>
      <c r="F37" s="42">
        <f t="shared" si="10"/>
        <v>622349.49</v>
      </c>
      <c r="G37" s="42">
        <f t="shared" si="10"/>
        <v>0</v>
      </c>
      <c r="H37" s="42">
        <f t="shared" si="10"/>
        <v>0</v>
      </c>
      <c r="I37" s="42">
        <f t="shared" si="10"/>
        <v>622349.49</v>
      </c>
      <c r="J37" s="42">
        <f t="shared" si="10"/>
        <v>95000</v>
      </c>
      <c r="K37" s="42">
        <f t="shared" si="10"/>
        <v>760000</v>
      </c>
      <c r="L37" s="42">
        <f t="shared" si="10"/>
        <v>22605.38</v>
      </c>
      <c r="M37" s="42">
        <f t="shared" si="10"/>
        <v>0</v>
      </c>
      <c r="N37" s="42">
        <f t="shared" si="10"/>
        <v>0</v>
      </c>
      <c r="O37" s="42">
        <f t="shared" si="10"/>
        <v>22605.38</v>
      </c>
      <c r="P37" s="42">
        <f t="shared" si="10"/>
        <v>0</v>
      </c>
      <c r="Q37" s="42">
        <f t="shared" si="10"/>
        <v>517650.51</v>
      </c>
      <c r="R37" s="70"/>
      <c r="S37" s="61"/>
      <c r="T37" s="72"/>
      <c r="U37" s="62"/>
    </row>
    <row r="38" spans="1:21" s="2" customFormat="1" ht="40.15" customHeight="1" thickBot="1" x14ac:dyDescent="0.3">
      <c r="A38" s="84">
        <v>12</v>
      </c>
      <c r="B38" s="76" t="s">
        <v>55</v>
      </c>
      <c r="C38" s="44">
        <v>43160</v>
      </c>
      <c r="D38" s="45">
        <f>D32</f>
        <v>1140000</v>
      </c>
      <c r="E38" s="45">
        <v>114512.55</v>
      </c>
      <c r="F38" s="46">
        <f>F36+E38</f>
        <v>736862.04</v>
      </c>
      <c r="G38" s="46">
        <v>0</v>
      </c>
      <c r="H38" s="46">
        <v>0</v>
      </c>
      <c r="I38" s="37">
        <f>L16+L18+L20+L22+L24+L26+L28+L30+L32+L34+L36+L38</f>
        <v>736862.04</v>
      </c>
      <c r="J38" s="47">
        <f>D38/12</f>
        <v>95000</v>
      </c>
      <c r="K38" s="47">
        <f>D38/12*9</f>
        <v>855000</v>
      </c>
      <c r="L38" s="47">
        <f>E38</f>
        <v>114512.55</v>
      </c>
      <c r="M38" s="47">
        <v>0</v>
      </c>
      <c r="N38" s="47">
        <v>0</v>
      </c>
      <c r="O38" s="32">
        <f>SUM(+L38-M38-N38)</f>
        <v>114512.55</v>
      </c>
      <c r="P38" s="47">
        <v>0</v>
      </c>
      <c r="Q38" s="47">
        <f>D38-I38</f>
        <v>403137.95999999996</v>
      </c>
      <c r="R38" s="48">
        <v>43209</v>
      </c>
      <c r="S38" s="60">
        <v>26384089</v>
      </c>
      <c r="T38" s="71">
        <v>114512.55</v>
      </c>
      <c r="U38" s="56">
        <v>43213</v>
      </c>
    </row>
    <row r="39" spans="1:21" s="15" customFormat="1" ht="24" customHeight="1" thickBot="1" x14ac:dyDescent="0.3">
      <c r="A39" s="84"/>
      <c r="B39" s="77" t="s">
        <v>29</v>
      </c>
      <c r="C39" s="33"/>
      <c r="D39" s="34">
        <f t="shared" ref="D39:Q39" si="11">D38</f>
        <v>1140000</v>
      </c>
      <c r="E39" s="34">
        <f t="shared" si="11"/>
        <v>114512.55</v>
      </c>
      <c r="F39" s="34">
        <f t="shared" si="11"/>
        <v>736862.04</v>
      </c>
      <c r="G39" s="34">
        <f t="shared" si="11"/>
        <v>0</v>
      </c>
      <c r="H39" s="34">
        <f t="shared" si="11"/>
        <v>0</v>
      </c>
      <c r="I39" s="34">
        <f t="shared" si="11"/>
        <v>736862.04</v>
      </c>
      <c r="J39" s="34">
        <f t="shared" si="11"/>
        <v>95000</v>
      </c>
      <c r="K39" s="34">
        <f t="shared" si="11"/>
        <v>855000</v>
      </c>
      <c r="L39" s="34">
        <f t="shared" si="11"/>
        <v>114512.55</v>
      </c>
      <c r="M39" s="34">
        <f t="shared" si="11"/>
        <v>0</v>
      </c>
      <c r="N39" s="34">
        <f t="shared" si="11"/>
        <v>0</v>
      </c>
      <c r="O39" s="34">
        <f t="shared" si="11"/>
        <v>114512.55</v>
      </c>
      <c r="P39" s="34">
        <f t="shared" si="11"/>
        <v>0</v>
      </c>
      <c r="Q39" s="34">
        <f t="shared" si="11"/>
        <v>403137.95999999996</v>
      </c>
      <c r="R39" s="35"/>
      <c r="S39" s="61"/>
      <c r="T39" s="72"/>
      <c r="U39" s="62"/>
    </row>
    <row r="40" spans="1:21" s="2" customFormat="1" ht="31.9" customHeight="1" thickBot="1" x14ac:dyDescent="0.3">
      <c r="A40" s="84">
        <v>13</v>
      </c>
      <c r="B40" s="78" t="s">
        <v>55</v>
      </c>
      <c r="C40" s="36">
        <v>43191</v>
      </c>
      <c r="D40" s="37">
        <f>D38</f>
        <v>1140000</v>
      </c>
      <c r="E40" s="37">
        <v>95675.91</v>
      </c>
      <c r="F40" s="38">
        <f>F38+E40</f>
        <v>832537.95000000007</v>
      </c>
      <c r="G40" s="38">
        <v>0</v>
      </c>
      <c r="H40" s="38">
        <v>0</v>
      </c>
      <c r="I40" s="37">
        <f>L16+L18+L20+L22+L24+L26+L28+L30+L32+L34+L36+L38+L40</f>
        <v>832537.95000000007</v>
      </c>
      <c r="J40" s="39">
        <f>D40/12</f>
        <v>95000</v>
      </c>
      <c r="K40" s="39">
        <f>D40/12*10</f>
        <v>950000</v>
      </c>
      <c r="L40" s="39">
        <f>E40</f>
        <v>95675.91</v>
      </c>
      <c r="M40" s="39">
        <v>0</v>
      </c>
      <c r="N40" s="39">
        <v>0</v>
      </c>
      <c r="O40" s="32">
        <f>SUM(+L40-M40-N40)</f>
        <v>95675.91</v>
      </c>
      <c r="P40" s="39">
        <v>0</v>
      </c>
      <c r="Q40" s="39">
        <f>D40-I40</f>
        <v>307462.04999999993</v>
      </c>
      <c r="R40" s="40">
        <v>43237</v>
      </c>
      <c r="S40" s="60">
        <v>26513680</v>
      </c>
      <c r="T40" s="71">
        <v>95675.91</v>
      </c>
      <c r="U40" s="56">
        <v>43243</v>
      </c>
    </row>
    <row r="41" spans="1:21" s="15" customFormat="1" ht="24" customHeight="1" thickBot="1" x14ac:dyDescent="0.3">
      <c r="A41" s="84"/>
      <c r="B41" s="79" t="s">
        <v>30</v>
      </c>
      <c r="C41" s="41"/>
      <c r="D41" s="42">
        <f t="shared" ref="D41:Q41" si="12">D40</f>
        <v>1140000</v>
      </c>
      <c r="E41" s="42">
        <f t="shared" si="12"/>
        <v>95675.91</v>
      </c>
      <c r="F41" s="42">
        <f t="shared" si="12"/>
        <v>832537.95000000007</v>
      </c>
      <c r="G41" s="42">
        <f t="shared" si="12"/>
        <v>0</v>
      </c>
      <c r="H41" s="42">
        <f t="shared" si="12"/>
        <v>0</v>
      </c>
      <c r="I41" s="42">
        <f t="shared" si="12"/>
        <v>832537.95000000007</v>
      </c>
      <c r="J41" s="42">
        <f t="shared" si="12"/>
        <v>95000</v>
      </c>
      <c r="K41" s="42">
        <f t="shared" si="12"/>
        <v>950000</v>
      </c>
      <c r="L41" s="42">
        <f t="shared" si="12"/>
        <v>95675.91</v>
      </c>
      <c r="M41" s="42">
        <f t="shared" si="12"/>
        <v>0</v>
      </c>
      <c r="N41" s="42">
        <f t="shared" si="12"/>
        <v>0</v>
      </c>
      <c r="O41" s="42">
        <f t="shared" si="12"/>
        <v>95675.91</v>
      </c>
      <c r="P41" s="42">
        <f t="shared" si="12"/>
        <v>0</v>
      </c>
      <c r="Q41" s="42">
        <f t="shared" si="12"/>
        <v>307462.04999999993</v>
      </c>
      <c r="R41" s="43"/>
      <c r="S41" s="61"/>
      <c r="T41" s="72"/>
      <c r="U41" s="62"/>
    </row>
    <row r="42" spans="1:21" s="15" customFormat="1" ht="33.6" customHeight="1" thickBot="1" x14ac:dyDescent="0.3">
      <c r="A42" s="84">
        <v>14</v>
      </c>
      <c r="B42" s="78" t="s">
        <v>55</v>
      </c>
      <c r="C42" s="36">
        <v>43191</v>
      </c>
      <c r="D42" s="37">
        <f>D40</f>
        <v>1140000</v>
      </c>
      <c r="E42" s="37">
        <v>328.72</v>
      </c>
      <c r="F42" s="38">
        <f>F40+E42</f>
        <v>832866.67</v>
      </c>
      <c r="G42" s="38">
        <v>0</v>
      </c>
      <c r="H42" s="38">
        <v>0</v>
      </c>
      <c r="I42" s="37">
        <f>L16+L18+L20+L22+L24+L26+L28+L30+L32+L34+L36+L38+L40+L42</f>
        <v>832866.67</v>
      </c>
      <c r="J42" s="39">
        <f>D42/12</f>
        <v>95000</v>
      </c>
      <c r="K42" s="39">
        <f>D42/12*10</f>
        <v>950000</v>
      </c>
      <c r="L42" s="39">
        <f>E42</f>
        <v>328.72</v>
      </c>
      <c r="M42" s="39">
        <v>0</v>
      </c>
      <c r="N42" s="39">
        <v>0</v>
      </c>
      <c r="O42" s="32">
        <f>SUM(+L42-M42-N42)</f>
        <v>328.72</v>
      </c>
      <c r="P42" s="39">
        <v>0</v>
      </c>
      <c r="Q42" s="39">
        <f>D42-I42</f>
        <v>307133.32999999996</v>
      </c>
      <c r="R42" s="40">
        <v>43242</v>
      </c>
      <c r="S42" s="60">
        <v>26519833</v>
      </c>
      <c r="T42" s="71">
        <v>382.72</v>
      </c>
      <c r="U42" s="56">
        <v>43244</v>
      </c>
    </row>
    <row r="43" spans="1:21" s="15" customFormat="1" ht="24" customHeight="1" thickBot="1" x14ac:dyDescent="0.3">
      <c r="A43" s="84"/>
      <c r="B43" s="79" t="s">
        <v>30</v>
      </c>
      <c r="C43" s="41"/>
      <c r="D43" s="42">
        <f t="shared" ref="D43:Q43" si="13">D42</f>
        <v>1140000</v>
      </c>
      <c r="E43" s="42">
        <f t="shared" si="13"/>
        <v>328.72</v>
      </c>
      <c r="F43" s="42">
        <f t="shared" si="13"/>
        <v>832866.67</v>
      </c>
      <c r="G43" s="42">
        <f t="shared" si="13"/>
        <v>0</v>
      </c>
      <c r="H43" s="42">
        <f t="shared" si="13"/>
        <v>0</v>
      </c>
      <c r="I43" s="42">
        <f t="shared" si="13"/>
        <v>832866.67</v>
      </c>
      <c r="J43" s="42">
        <f t="shared" si="13"/>
        <v>95000</v>
      </c>
      <c r="K43" s="42">
        <f t="shared" si="13"/>
        <v>950000</v>
      </c>
      <c r="L43" s="42">
        <f t="shared" si="13"/>
        <v>328.72</v>
      </c>
      <c r="M43" s="42">
        <f t="shared" si="13"/>
        <v>0</v>
      </c>
      <c r="N43" s="42">
        <f t="shared" si="13"/>
        <v>0</v>
      </c>
      <c r="O43" s="42">
        <f t="shared" si="13"/>
        <v>328.72</v>
      </c>
      <c r="P43" s="42">
        <f t="shared" si="13"/>
        <v>0</v>
      </c>
      <c r="Q43" s="42">
        <f t="shared" si="13"/>
        <v>307133.32999999996</v>
      </c>
      <c r="R43" s="43"/>
      <c r="S43" s="60"/>
      <c r="T43" s="71"/>
      <c r="U43" s="56"/>
    </row>
    <row r="44" spans="1:21" s="2" customFormat="1" ht="31.15" customHeight="1" thickBot="1" x14ac:dyDescent="0.3">
      <c r="A44" s="84">
        <v>15</v>
      </c>
      <c r="B44" s="76" t="s">
        <v>55</v>
      </c>
      <c r="C44" s="44">
        <v>43221</v>
      </c>
      <c r="D44" s="45">
        <f>D40</f>
        <v>1140000</v>
      </c>
      <c r="E44" s="45">
        <v>123185.51</v>
      </c>
      <c r="F44" s="46">
        <f>F42+E44</f>
        <v>956052.18</v>
      </c>
      <c r="G44" s="46">
        <v>0</v>
      </c>
      <c r="H44" s="46">
        <v>0</v>
      </c>
      <c r="I44" s="37">
        <f>L16+L18+L20+L22+L24+L26+L28+L30+L32+L34+L36+L38+L40+L42+L44</f>
        <v>956052.18</v>
      </c>
      <c r="J44" s="47">
        <f>D44/12</f>
        <v>95000</v>
      </c>
      <c r="K44" s="47">
        <f>D44/12*11</f>
        <v>1045000</v>
      </c>
      <c r="L44" s="47">
        <f>E44</f>
        <v>123185.51</v>
      </c>
      <c r="M44" s="47">
        <v>0</v>
      </c>
      <c r="N44" s="47">
        <v>0</v>
      </c>
      <c r="O44" s="32">
        <f>SUM(+L44-M44-N44)</f>
        <v>123185.51</v>
      </c>
      <c r="P44" s="47">
        <v>0</v>
      </c>
      <c r="Q44" s="47">
        <f>D44-I44</f>
        <v>183947.81999999995</v>
      </c>
      <c r="R44" s="48">
        <v>43265</v>
      </c>
      <c r="S44" s="60">
        <v>26646435</v>
      </c>
      <c r="T44" s="71">
        <v>123185.51</v>
      </c>
      <c r="U44" s="56">
        <v>43272</v>
      </c>
    </row>
    <row r="45" spans="1:21" s="15" customFormat="1" ht="24" customHeight="1" thickBot="1" x14ac:dyDescent="0.3">
      <c r="A45" s="86"/>
      <c r="B45" s="77" t="s">
        <v>31</v>
      </c>
      <c r="C45" s="33"/>
      <c r="D45" s="34">
        <f t="shared" ref="D45:Q45" si="14">D44</f>
        <v>1140000</v>
      </c>
      <c r="E45" s="34">
        <f t="shared" si="14"/>
        <v>123185.51</v>
      </c>
      <c r="F45" s="34">
        <f t="shared" si="14"/>
        <v>956052.18</v>
      </c>
      <c r="G45" s="34">
        <f t="shared" si="14"/>
        <v>0</v>
      </c>
      <c r="H45" s="34">
        <f t="shared" si="14"/>
        <v>0</v>
      </c>
      <c r="I45" s="34">
        <f t="shared" si="14"/>
        <v>956052.18</v>
      </c>
      <c r="J45" s="34">
        <f t="shared" si="14"/>
        <v>95000</v>
      </c>
      <c r="K45" s="34">
        <f t="shared" si="14"/>
        <v>1045000</v>
      </c>
      <c r="L45" s="34">
        <f t="shared" si="14"/>
        <v>123185.51</v>
      </c>
      <c r="M45" s="34">
        <f t="shared" si="14"/>
        <v>0</v>
      </c>
      <c r="N45" s="34">
        <f t="shared" si="14"/>
        <v>0</v>
      </c>
      <c r="O45" s="34">
        <f t="shared" si="14"/>
        <v>123185.51</v>
      </c>
      <c r="P45" s="34">
        <f t="shared" si="14"/>
        <v>0</v>
      </c>
      <c r="Q45" s="34">
        <f t="shared" si="14"/>
        <v>183947.81999999995</v>
      </c>
      <c r="R45" s="35"/>
      <c r="S45" s="61"/>
      <c r="T45" s="72"/>
      <c r="U45" s="62"/>
    </row>
    <row r="46" spans="1:21" s="2" customFormat="1" ht="28.9" customHeight="1" thickBot="1" x14ac:dyDescent="0.3">
      <c r="A46" s="84">
        <v>16</v>
      </c>
      <c r="B46" s="78" t="s">
        <v>55</v>
      </c>
      <c r="C46" s="36">
        <v>43252</v>
      </c>
      <c r="D46" s="37">
        <f>D44</f>
        <v>1140000</v>
      </c>
      <c r="E46" s="37">
        <v>84719.54</v>
      </c>
      <c r="F46" s="38">
        <f>F44+E46</f>
        <v>1040771.7200000001</v>
      </c>
      <c r="G46" s="38">
        <v>0</v>
      </c>
      <c r="H46" s="38">
        <v>0</v>
      </c>
      <c r="I46" s="37">
        <f>L16+L18+L20+L22+L24+L26+L28+L30+L32+L34+L36+L38+L40+L42+L44+L46</f>
        <v>1040771.7200000001</v>
      </c>
      <c r="J46" s="39">
        <f>D46/12</f>
        <v>95000</v>
      </c>
      <c r="K46" s="39">
        <f>D46/12*12</f>
        <v>1140000</v>
      </c>
      <c r="L46" s="39">
        <f>E46</f>
        <v>84719.54</v>
      </c>
      <c r="M46" s="39">
        <v>0</v>
      </c>
      <c r="N46" s="39">
        <v>0</v>
      </c>
      <c r="O46" s="32">
        <f>SUM(+L46-M46-N46)</f>
        <v>84719.54</v>
      </c>
      <c r="P46" s="39">
        <v>0</v>
      </c>
      <c r="Q46" s="39">
        <f>D46-I46</f>
        <v>99228.279999999912</v>
      </c>
      <c r="R46" s="40">
        <v>43291</v>
      </c>
      <c r="S46" s="60">
        <v>26774134</v>
      </c>
      <c r="T46" s="71">
        <v>84719.54</v>
      </c>
      <c r="U46" s="56">
        <v>43304</v>
      </c>
    </row>
    <row r="47" spans="1:21" s="15" customFormat="1" ht="21.75" customHeight="1" thickBot="1" x14ac:dyDescent="0.3">
      <c r="A47" s="84"/>
      <c r="B47" s="79" t="s">
        <v>32</v>
      </c>
      <c r="C47" s="41"/>
      <c r="D47" s="42">
        <f t="shared" ref="D47:Q47" si="15">D46</f>
        <v>1140000</v>
      </c>
      <c r="E47" s="42">
        <f t="shared" si="15"/>
        <v>84719.54</v>
      </c>
      <c r="F47" s="42">
        <f t="shared" si="15"/>
        <v>1040771.7200000001</v>
      </c>
      <c r="G47" s="42">
        <f t="shared" si="15"/>
        <v>0</v>
      </c>
      <c r="H47" s="42">
        <f t="shared" si="15"/>
        <v>0</v>
      </c>
      <c r="I47" s="42">
        <f t="shared" si="15"/>
        <v>1040771.7200000001</v>
      </c>
      <c r="J47" s="42">
        <f t="shared" si="15"/>
        <v>95000</v>
      </c>
      <c r="K47" s="42">
        <f t="shared" si="15"/>
        <v>1140000</v>
      </c>
      <c r="L47" s="42">
        <f t="shared" si="15"/>
        <v>84719.54</v>
      </c>
      <c r="M47" s="42">
        <f t="shared" si="15"/>
        <v>0</v>
      </c>
      <c r="N47" s="42">
        <f t="shared" si="15"/>
        <v>0</v>
      </c>
      <c r="O47" s="42">
        <f t="shared" si="15"/>
        <v>84719.54</v>
      </c>
      <c r="P47" s="42">
        <f t="shared" si="15"/>
        <v>0</v>
      </c>
      <c r="Q47" s="42">
        <f t="shared" si="15"/>
        <v>99228.279999999912</v>
      </c>
      <c r="R47" s="43"/>
      <c r="S47" s="61"/>
      <c r="T47" s="72"/>
      <c r="U47" s="62"/>
    </row>
    <row r="48" spans="1:21" s="15" customFormat="1" ht="30.6" customHeight="1" thickBot="1" x14ac:dyDescent="0.3">
      <c r="A48" s="84">
        <v>17</v>
      </c>
      <c r="B48" s="78" t="s">
        <v>55</v>
      </c>
      <c r="C48" s="36">
        <v>43252</v>
      </c>
      <c r="D48" s="37">
        <f>D46</f>
        <v>1140000</v>
      </c>
      <c r="E48" s="37">
        <v>37646.15</v>
      </c>
      <c r="F48" s="38">
        <f>F46+E48</f>
        <v>1078417.8700000001</v>
      </c>
      <c r="G48" s="38">
        <v>0</v>
      </c>
      <c r="H48" s="38">
        <v>0</v>
      </c>
      <c r="I48" s="37">
        <f>L16+L18+L20+L22+L24+L26+L28+L30+L32+L34+L36+L38+L40+L42+L44+L46+L48</f>
        <v>1078417.8700000001</v>
      </c>
      <c r="J48" s="39">
        <f>D48/12</f>
        <v>95000</v>
      </c>
      <c r="K48" s="39">
        <f>D48/12*12</f>
        <v>1140000</v>
      </c>
      <c r="L48" s="39">
        <f>E48</f>
        <v>37646.15</v>
      </c>
      <c r="M48" s="39">
        <v>0</v>
      </c>
      <c r="N48" s="39">
        <v>0</v>
      </c>
      <c r="O48" s="32">
        <f>SUM(+L48-M48-N48)</f>
        <v>37646.15</v>
      </c>
      <c r="P48" s="39">
        <v>0</v>
      </c>
      <c r="Q48" s="39">
        <f>D48-I48</f>
        <v>61582.129999999888</v>
      </c>
      <c r="R48" s="40">
        <v>43311</v>
      </c>
      <c r="S48" s="60">
        <v>26803143</v>
      </c>
      <c r="T48" s="71">
        <v>37646.15</v>
      </c>
      <c r="U48" s="56">
        <v>43313</v>
      </c>
    </row>
    <row r="49" spans="1:21" s="15" customFormat="1" ht="21.75" customHeight="1" thickBot="1" x14ac:dyDescent="0.3">
      <c r="A49" s="84"/>
      <c r="B49" s="79" t="s">
        <v>32</v>
      </c>
      <c r="C49" s="41"/>
      <c r="D49" s="42">
        <f t="shared" ref="D49:Q49" si="16">D48</f>
        <v>1140000</v>
      </c>
      <c r="E49" s="42">
        <f t="shared" si="16"/>
        <v>37646.15</v>
      </c>
      <c r="F49" s="42">
        <f t="shared" si="16"/>
        <v>1078417.8700000001</v>
      </c>
      <c r="G49" s="42">
        <f t="shared" si="16"/>
        <v>0</v>
      </c>
      <c r="H49" s="42">
        <f t="shared" si="16"/>
        <v>0</v>
      </c>
      <c r="I49" s="42">
        <f t="shared" si="16"/>
        <v>1078417.8700000001</v>
      </c>
      <c r="J49" s="42">
        <f t="shared" si="16"/>
        <v>95000</v>
      </c>
      <c r="K49" s="42">
        <f t="shared" si="16"/>
        <v>1140000</v>
      </c>
      <c r="L49" s="42">
        <f t="shared" si="16"/>
        <v>37646.15</v>
      </c>
      <c r="M49" s="42">
        <f t="shared" si="16"/>
        <v>0</v>
      </c>
      <c r="N49" s="42">
        <f t="shared" si="16"/>
        <v>0</v>
      </c>
      <c r="O49" s="42">
        <f t="shared" si="16"/>
        <v>37646.15</v>
      </c>
      <c r="P49" s="42">
        <f t="shared" si="16"/>
        <v>0</v>
      </c>
      <c r="Q49" s="42">
        <f t="shared" si="16"/>
        <v>61582.129999999888</v>
      </c>
      <c r="R49" s="43"/>
      <c r="S49" s="61"/>
      <c r="T49" s="72"/>
      <c r="U49" s="62"/>
    </row>
    <row r="50" spans="1:21" s="15" customFormat="1" ht="30" customHeight="1" thickBot="1" x14ac:dyDescent="0.3">
      <c r="A50" s="84">
        <v>18</v>
      </c>
      <c r="B50" s="78" t="s">
        <v>55</v>
      </c>
      <c r="C50" s="36">
        <v>43252</v>
      </c>
      <c r="D50" s="37">
        <f>D48</f>
        <v>1140000</v>
      </c>
      <c r="E50" s="37">
        <v>0</v>
      </c>
      <c r="F50" s="38">
        <f>F48+E50</f>
        <v>1078417.8700000001</v>
      </c>
      <c r="G50" s="38">
        <v>-18716.28</v>
      </c>
      <c r="H50" s="38">
        <v>0</v>
      </c>
      <c r="I50" s="37">
        <f>L16+L18+L20+L22+L24+L26+L28+L30+L32+L34+L36+L38+L40+L42+L44+L46+L48+L50</f>
        <v>1078417.8700000001</v>
      </c>
      <c r="J50" s="39">
        <f>D50/12</f>
        <v>95000</v>
      </c>
      <c r="K50" s="39">
        <f>D50/12*12</f>
        <v>1140000</v>
      </c>
      <c r="L50" s="39">
        <f>E50</f>
        <v>0</v>
      </c>
      <c r="M50" s="39">
        <v>0</v>
      </c>
      <c r="N50" s="39">
        <v>0</v>
      </c>
      <c r="O50" s="32">
        <f>SUM(+L50-M50-N50)</f>
        <v>0</v>
      </c>
      <c r="P50" s="39">
        <v>0</v>
      </c>
      <c r="Q50" s="39">
        <f>D50-I50</f>
        <v>61582.129999999888</v>
      </c>
      <c r="R50" s="40"/>
      <c r="S50" s="61"/>
      <c r="T50" s="72"/>
      <c r="U50" s="62"/>
    </row>
    <row r="51" spans="1:21" s="15" customFormat="1" ht="21.75" customHeight="1" thickBot="1" x14ac:dyDescent="0.3">
      <c r="A51" s="84"/>
      <c r="B51" s="79" t="s">
        <v>32</v>
      </c>
      <c r="C51" s="41"/>
      <c r="D51" s="42">
        <f t="shared" ref="D51:Q51" si="17">D50</f>
        <v>1140000</v>
      </c>
      <c r="E51" s="42">
        <f t="shared" si="17"/>
        <v>0</v>
      </c>
      <c r="F51" s="42">
        <f t="shared" si="17"/>
        <v>1078417.8700000001</v>
      </c>
      <c r="G51" s="42">
        <f t="shared" si="17"/>
        <v>-18716.28</v>
      </c>
      <c r="H51" s="42">
        <f t="shared" si="17"/>
        <v>0</v>
      </c>
      <c r="I51" s="42">
        <f t="shared" si="17"/>
        <v>1078417.8700000001</v>
      </c>
      <c r="J51" s="42">
        <f t="shared" si="17"/>
        <v>95000</v>
      </c>
      <c r="K51" s="42">
        <f t="shared" si="17"/>
        <v>1140000</v>
      </c>
      <c r="L51" s="42">
        <f t="shared" si="17"/>
        <v>0</v>
      </c>
      <c r="M51" s="42">
        <f t="shared" si="17"/>
        <v>0</v>
      </c>
      <c r="N51" s="42">
        <f t="shared" si="17"/>
        <v>0</v>
      </c>
      <c r="O51" s="42">
        <f t="shared" si="17"/>
        <v>0</v>
      </c>
      <c r="P51" s="42">
        <f t="shared" si="17"/>
        <v>0</v>
      </c>
      <c r="Q51" s="42">
        <f t="shared" si="17"/>
        <v>61582.129999999888</v>
      </c>
      <c r="R51" s="43"/>
      <c r="S51" s="61"/>
      <c r="T51" s="72"/>
      <c r="U51" s="62"/>
    </row>
    <row r="52" spans="1:21" s="1" customFormat="1" ht="19.5" customHeight="1" thickBot="1" x14ac:dyDescent="0.3">
      <c r="A52" s="84"/>
      <c r="B52" s="83" t="s">
        <v>16</v>
      </c>
      <c r="C52" s="19"/>
      <c r="D52" s="67">
        <f>D16</f>
        <v>1140000</v>
      </c>
      <c r="E52" s="67">
        <f>E16+E18+E20+E22+E24+E26+E28+E30+E32+E34+E36+E38+E40+E42+E44+E46+E48</f>
        <v>1078417.8700000001</v>
      </c>
      <c r="F52" s="67">
        <f>F51</f>
        <v>1078417.8700000001</v>
      </c>
      <c r="G52" s="67">
        <f>G51</f>
        <v>-18716.28</v>
      </c>
      <c r="H52" s="67">
        <f t="shared" ref="H52" si="18">H16</f>
        <v>0</v>
      </c>
      <c r="I52" s="89">
        <f>I51</f>
        <v>1078417.8700000001</v>
      </c>
      <c r="J52" s="20"/>
      <c r="K52" s="21"/>
      <c r="L52" s="67">
        <f>L16+L18+L20+L22+L24+L26+L28+L30+L32+L34+L36+L38+L40+L42+L44+L46+L48</f>
        <v>1078417.8700000001</v>
      </c>
      <c r="M52" s="67">
        <f>M16+M18+M20+M22+M24+M26+M28+M30+M32+M36+M38+M40+M42+M44+M46+M48</f>
        <v>22780</v>
      </c>
      <c r="N52" s="67">
        <f t="shared" ref="N52" si="19">N16</f>
        <v>0</v>
      </c>
      <c r="O52" s="67">
        <f>O16+O18+O20+O22+O24+O26+O28+O30+O32+O34+O36+O38+O40+O42+O44+O46+O48</f>
        <v>1055637.8700000001</v>
      </c>
      <c r="P52" s="20"/>
      <c r="Q52" s="67">
        <f>D52-I52</f>
        <v>61582.129999999888</v>
      </c>
      <c r="R52" s="18"/>
      <c r="S52" s="17"/>
      <c r="T52" s="73"/>
      <c r="U52" s="16"/>
    </row>
    <row r="53" spans="1:21" ht="17.25" thickTop="1" thickBot="1" x14ac:dyDescent="0.3">
      <c r="T53" s="74"/>
    </row>
    <row r="54" spans="1:21" ht="63.75" thickBot="1" x14ac:dyDescent="0.3">
      <c r="B54" s="91"/>
      <c r="C54" s="91"/>
      <c r="D54" s="91"/>
      <c r="E54" s="91"/>
      <c r="F54" s="91"/>
      <c r="G54" s="6"/>
      <c r="H54" s="6"/>
      <c r="I54" s="92" t="s">
        <v>58</v>
      </c>
      <c r="J54" s="6"/>
      <c r="K54" s="6"/>
      <c r="L54" s="6"/>
      <c r="M54" s="6"/>
      <c r="N54" s="6"/>
      <c r="O54" s="6"/>
      <c r="T54" s="74"/>
    </row>
    <row r="55" spans="1:21" x14ac:dyDescent="0.25">
      <c r="D55" s="88"/>
      <c r="E55" s="88"/>
      <c r="F55" s="88"/>
      <c r="G55" s="88"/>
      <c r="H55" s="88"/>
      <c r="T55" s="74"/>
    </row>
  </sheetData>
  <mergeCells count="5">
    <mergeCell ref="B2:Q2"/>
    <mergeCell ref="B3:Q3"/>
    <mergeCell ref="C4:P4"/>
    <mergeCell ref="B6:Q6"/>
    <mergeCell ref="D55:H55"/>
  </mergeCells>
  <printOptions horizontalCentered="1"/>
  <pageMargins left="0.25" right="0.2" top="0.5" bottom="0.5" header="0.3" footer="0.3"/>
  <pageSetup scale="50" orientation="landscape" r:id="rId1"/>
  <headerFooter>
    <oddFooter>&amp;L&amp;Z&amp;F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activity</vt:lpstr>
      <vt:lpstr>'Monthly activity'!Print_Area</vt:lpstr>
      <vt:lpstr>'Monthly activity'!Print_Titles</vt:lpstr>
    </vt:vector>
  </TitlesOfParts>
  <Company>LAC-ALCOHOL AND DRUG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DALE REYES</dc:creator>
  <cp:lastModifiedBy>Lisa Lee</cp:lastModifiedBy>
  <cp:lastPrinted>2019-01-23T01:14:57Z</cp:lastPrinted>
  <dcterms:created xsi:type="dcterms:W3CDTF">1999-08-13T17:28:45Z</dcterms:created>
  <dcterms:modified xsi:type="dcterms:W3CDTF">2019-03-05T23:27:33Z</dcterms:modified>
</cp:coreProperties>
</file>